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kruglova\Desktop\Задачи\Модель экспорта\На сайт\"/>
    </mc:Choice>
  </mc:AlternateContent>
  <xr:revisionPtr revIDLastSave="0" documentId="13_ncr:1_{DAEDB9A6-AAC2-40E5-AA35-47D2712C17FB}" xr6:coauthVersionLast="36" xr6:coauthVersionMax="36" xr10:uidLastSave="{00000000-0000-0000-0000-000000000000}"/>
  <bookViews>
    <workbookView xWindow="0" yWindow="0" windowWidth="28800" windowHeight="12225" tabRatio="809" xr2:uid="{EE848BEC-B864-43DD-B7A0-276314970597}"/>
  </bookViews>
  <sheets>
    <sheet name="Приветствие !" sheetId="14" r:id="rId1"/>
    <sheet name="Бюджет на запуск" sheetId="6" r:id="rId2"/>
    <sheet name="Результат" sheetId="19" r:id="rId3"/>
    <sheet name="Расчет" sheetId="1" state="veryHidden" r:id="rId4"/>
    <sheet name="Курсы валют" sheetId="17" r:id="rId5"/>
  </sheets>
  <definedNames>
    <definedName name="ExternalData_1" localSheetId="4" hidden="1">'Курсы валют'!$A$1:$E$44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14" l="1"/>
  <c r="H34" i="14" l="1"/>
  <c r="C10" i="19" l="1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9" i="19"/>
  <c r="C5" i="19"/>
  <c r="C2" i="19"/>
  <c r="H23" i="1"/>
  <c r="H30" i="1" s="1"/>
  <c r="I23" i="1"/>
  <c r="I30" i="1" s="1"/>
  <c r="J23" i="1"/>
  <c r="J30" i="1" s="1"/>
  <c r="K23" i="1"/>
  <c r="K30" i="1" s="1"/>
  <c r="L23" i="1"/>
  <c r="L30" i="1" s="1"/>
  <c r="M23" i="1"/>
  <c r="M30" i="1" s="1"/>
  <c r="N23" i="1"/>
  <c r="N30" i="1" s="1"/>
  <c r="O23" i="1"/>
  <c r="O30" i="1" s="1"/>
  <c r="P23" i="1"/>
  <c r="P30" i="1" s="1"/>
  <c r="Q23" i="1"/>
  <c r="Q30" i="1" s="1"/>
  <c r="R23" i="1"/>
  <c r="R30" i="1" s="1"/>
  <c r="S23" i="1"/>
  <c r="S30" i="1" s="1"/>
  <c r="H24" i="1"/>
  <c r="H32" i="1" s="1"/>
  <c r="I24" i="1"/>
  <c r="I32" i="1" s="1"/>
  <c r="J24" i="1"/>
  <c r="J32" i="1" s="1"/>
  <c r="K24" i="1"/>
  <c r="K32" i="1" s="1"/>
  <c r="L24" i="1"/>
  <c r="L32" i="1" s="1"/>
  <c r="M24" i="1"/>
  <c r="M32" i="1" s="1"/>
  <c r="N24" i="1"/>
  <c r="N32" i="1" s="1"/>
  <c r="O24" i="1"/>
  <c r="O32" i="1" s="1"/>
  <c r="P24" i="1"/>
  <c r="P32" i="1" s="1"/>
  <c r="Q24" i="1"/>
  <c r="Q32" i="1" s="1"/>
  <c r="R24" i="1"/>
  <c r="R32" i="1" s="1"/>
  <c r="S24" i="1"/>
  <c r="S32" i="1" s="1"/>
  <c r="H25" i="1"/>
  <c r="H34" i="1" s="1"/>
  <c r="H35" i="1" s="1"/>
  <c r="I25" i="1"/>
  <c r="I34" i="1" s="1"/>
  <c r="J25" i="1"/>
  <c r="J34" i="1" s="1"/>
  <c r="K25" i="1"/>
  <c r="K34" i="1" s="1"/>
  <c r="L25" i="1"/>
  <c r="L34" i="1" s="1"/>
  <c r="M25" i="1"/>
  <c r="M34" i="1" s="1"/>
  <c r="N25" i="1"/>
  <c r="N34" i="1" s="1"/>
  <c r="O25" i="1"/>
  <c r="O34" i="1" s="1"/>
  <c r="P25" i="1"/>
  <c r="P34" i="1" s="1"/>
  <c r="Q25" i="1"/>
  <c r="Q34" i="1" s="1"/>
  <c r="R25" i="1"/>
  <c r="R34" i="1" s="1"/>
  <c r="S25" i="1"/>
  <c r="S34" i="1" s="1"/>
  <c r="C5" i="1"/>
  <c r="Q59" i="14"/>
  <c r="O59" i="14"/>
  <c r="M59" i="14" s="1"/>
  <c r="M58" i="14"/>
  <c r="M57" i="14"/>
  <c r="M56" i="14"/>
  <c r="I43" i="14"/>
  <c r="J43" i="14"/>
  <c r="K43" i="14"/>
  <c r="L43" i="14"/>
  <c r="M43" i="14"/>
  <c r="N43" i="14"/>
  <c r="O43" i="14"/>
  <c r="P43" i="14"/>
  <c r="Q43" i="14"/>
  <c r="R43" i="14"/>
  <c r="S43" i="14"/>
  <c r="I44" i="14"/>
  <c r="J44" i="14"/>
  <c r="K44" i="14"/>
  <c r="L44" i="14"/>
  <c r="M44" i="14"/>
  <c r="N44" i="14"/>
  <c r="O44" i="14"/>
  <c r="P44" i="14"/>
  <c r="Q44" i="14"/>
  <c r="R44" i="14"/>
  <c r="S44" i="14"/>
  <c r="I45" i="14"/>
  <c r="J45" i="14"/>
  <c r="K45" i="14"/>
  <c r="L45" i="14"/>
  <c r="M45" i="14"/>
  <c r="N45" i="14"/>
  <c r="O45" i="14"/>
  <c r="P45" i="14"/>
  <c r="Q45" i="14"/>
  <c r="R45" i="14"/>
  <c r="S45" i="14"/>
  <c r="H44" i="14"/>
  <c r="H45" i="14"/>
  <c r="H43" i="14"/>
  <c r="J40" i="14"/>
  <c r="J42" i="14" s="1"/>
  <c r="K40" i="14"/>
  <c r="L40" i="14"/>
  <c r="M40" i="14"/>
  <c r="M42" i="14" s="1"/>
  <c r="N40" i="14"/>
  <c r="O40" i="14"/>
  <c r="P40" i="14"/>
  <c r="Q40" i="14"/>
  <c r="R40" i="14"/>
  <c r="S40" i="14"/>
  <c r="I40" i="14"/>
  <c r="I42" i="14" s="1"/>
  <c r="H40" i="14"/>
  <c r="H42" i="14" s="1"/>
  <c r="I64" i="14"/>
  <c r="C3" i="6" s="1"/>
  <c r="O27" i="14"/>
  <c r="G45" i="14" s="1"/>
  <c r="O26" i="14"/>
  <c r="G44" i="14" s="1"/>
  <c r="O25" i="14"/>
  <c r="H17" i="1" s="1"/>
  <c r="I3" i="6"/>
  <c r="K3" i="6"/>
  <c r="J3" i="6"/>
  <c r="E3" i="6"/>
  <c r="J22" i="1" l="1"/>
  <c r="J28" i="1" s="1"/>
  <c r="L42" i="14"/>
  <c r="L22" i="1" s="1"/>
  <c r="L28" i="1" s="1"/>
  <c r="R42" i="14"/>
  <c r="R22" i="1" s="1"/>
  <c r="R28" i="1" s="1"/>
  <c r="Q42" i="14"/>
  <c r="Q22" i="1" s="1"/>
  <c r="Q28" i="1" s="1"/>
  <c r="K42" i="14"/>
  <c r="K22" i="1" s="1"/>
  <c r="K28" i="1" s="1"/>
  <c r="P42" i="14"/>
  <c r="P22" i="1" s="1"/>
  <c r="P28" i="1" s="1"/>
  <c r="S42" i="14"/>
  <c r="S22" i="1" s="1"/>
  <c r="S28" i="1" s="1"/>
  <c r="O42" i="14"/>
  <c r="O22" i="1" s="1"/>
  <c r="O28" i="1" s="1"/>
  <c r="N42" i="14"/>
  <c r="N22" i="1" s="1"/>
  <c r="N28" i="1" s="1"/>
  <c r="M22" i="1"/>
  <c r="M28" i="1" s="1"/>
  <c r="I22" i="1"/>
  <c r="I28" i="1" s="1"/>
  <c r="C241" i="1"/>
  <c r="C237" i="1"/>
  <c r="D239" i="1"/>
  <c r="D241" i="1"/>
  <c r="D237" i="1"/>
  <c r="C239" i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H22" i="1"/>
  <c r="H28" i="1" s="1"/>
  <c r="H29" i="1" s="1"/>
  <c r="E10" i="1"/>
  <c r="C24" i="1"/>
  <c r="C25" i="1"/>
  <c r="C17" i="1"/>
  <c r="C18" i="1"/>
  <c r="C19" i="1"/>
  <c r="C23" i="1"/>
  <c r="M60" i="14"/>
  <c r="T45" i="14"/>
  <c r="T44" i="14"/>
  <c r="T43" i="14"/>
  <c r="G43" i="14"/>
  <c r="G34" i="14"/>
  <c r="G35" i="14"/>
  <c r="G36" i="14"/>
  <c r="I34" i="14"/>
  <c r="I17" i="1" s="1"/>
  <c r="H36" i="14"/>
  <c r="H19" i="1" s="1"/>
  <c r="H35" i="14"/>
  <c r="H18" i="1" s="1"/>
  <c r="J64" i="14"/>
  <c r="T42" i="14" l="1"/>
  <c r="I29" i="1"/>
  <c r="I36" i="14"/>
  <c r="I19" i="1" s="1"/>
  <c r="I35" i="14"/>
  <c r="I18" i="1" s="1"/>
  <c r="J34" i="14"/>
  <c r="J17" i="1" s="1"/>
  <c r="C2" i="1"/>
  <c r="J35" i="14" l="1"/>
  <c r="J18" i="1" s="1"/>
  <c r="K34" i="14"/>
  <c r="K17" i="1" s="1"/>
  <c r="J36" i="14"/>
  <c r="J19" i="1" s="1"/>
  <c r="L34" i="14" l="1"/>
  <c r="L17" i="1" s="1"/>
  <c r="K36" i="14"/>
  <c r="K19" i="1" s="1"/>
  <c r="K35" i="14"/>
  <c r="K18" i="1" s="1"/>
  <c r="C229" i="1"/>
  <c r="C233" i="1"/>
  <c r="C231" i="1"/>
  <c r="D235" i="1"/>
  <c r="C235" i="1"/>
  <c r="B8" i="1"/>
  <c r="I118" i="1"/>
  <c r="J118" i="1"/>
  <c r="K118" i="1"/>
  <c r="L118" i="1"/>
  <c r="M118" i="1"/>
  <c r="N118" i="1"/>
  <c r="O118" i="1"/>
  <c r="P118" i="1"/>
  <c r="Q118" i="1"/>
  <c r="R118" i="1"/>
  <c r="S118" i="1"/>
  <c r="I119" i="1"/>
  <c r="J119" i="1"/>
  <c r="K119" i="1"/>
  <c r="L119" i="1"/>
  <c r="M119" i="1"/>
  <c r="N119" i="1"/>
  <c r="O119" i="1"/>
  <c r="P119" i="1"/>
  <c r="Q119" i="1"/>
  <c r="R119" i="1"/>
  <c r="S119" i="1"/>
  <c r="I122" i="1"/>
  <c r="J122" i="1"/>
  <c r="K122" i="1"/>
  <c r="L122" i="1"/>
  <c r="M122" i="1"/>
  <c r="N122" i="1"/>
  <c r="O122" i="1"/>
  <c r="P122" i="1"/>
  <c r="Q122" i="1"/>
  <c r="R122" i="1"/>
  <c r="S122" i="1"/>
  <c r="I123" i="1"/>
  <c r="J123" i="1"/>
  <c r="K123" i="1"/>
  <c r="L123" i="1"/>
  <c r="M123" i="1"/>
  <c r="N123" i="1"/>
  <c r="O123" i="1"/>
  <c r="P123" i="1"/>
  <c r="Q123" i="1"/>
  <c r="R123" i="1"/>
  <c r="S123" i="1"/>
  <c r="I126" i="1"/>
  <c r="J126" i="1"/>
  <c r="K126" i="1"/>
  <c r="L126" i="1"/>
  <c r="M126" i="1"/>
  <c r="N126" i="1"/>
  <c r="O126" i="1"/>
  <c r="P126" i="1"/>
  <c r="Q126" i="1"/>
  <c r="R126" i="1"/>
  <c r="S126" i="1"/>
  <c r="I127" i="1"/>
  <c r="J127" i="1"/>
  <c r="K127" i="1"/>
  <c r="L127" i="1"/>
  <c r="M127" i="1"/>
  <c r="N127" i="1"/>
  <c r="O127" i="1"/>
  <c r="P127" i="1"/>
  <c r="Q127" i="1"/>
  <c r="R127" i="1"/>
  <c r="S127" i="1"/>
  <c r="I128" i="1"/>
  <c r="J128" i="1"/>
  <c r="K128" i="1"/>
  <c r="L128" i="1"/>
  <c r="M128" i="1"/>
  <c r="N128" i="1"/>
  <c r="O128" i="1"/>
  <c r="P128" i="1"/>
  <c r="Q128" i="1"/>
  <c r="R128" i="1"/>
  <c r="S128" i="1"/>
  <c r="I129" i="1"/>
  <c r="J129" i="1"/>
  <c r="K129" i="1"/>
  <c r="L129" i="1"/>
  <c r="M129" i="1"/>
  <c r="N129" i="1"/>
  <c r="O129" i="1"/>
  <c r="P129" i="1"/>
  <c r="Q129" i="1"/>
  <c r="R129" i="1"/>
  <c r="S129" i="1"/>
  <c r="I130" i="1"/>
  <c r="J130" i="1"/>
  <c r="K130" i="1"/>
  <c r="L130" i="1"/>
  <c r="M130" i="1"/>
  <c r="N130" i="1"/>
  <c r="O130" i="1"/>
  <c r="P130" i="1"/>
  <c r="Q130" i="1"/>
  <c r="R130" i="1"/>
  <c r="S130" i="1"/>
  <c r="H127" i="1"/>
  <c r="H128" i="1"/>
  <c r="H129" i="1"/>
  <c r="H130" i="1"/>
  <c r="H126" i="1"/>
  <c r="H123" i="1"/>
  <c r="H122" i="1"/>
  <c r="H119" i="1"/>
  <c r="H118" i="1"/>
  <c r="C225" i="1"/>
  <c r="C224" i="1"/>
  <c r="C223" i="1"/>
  <c r="C222" i="1"/>
  <c r="C221" i="1"/>
  <c r="C220" i="1"/>
  <c r="C218" i="1"/>
  <c r="C217" i="1"/>
  <c r="C216" i="1"/>
  <c r="C214" i="1"/>
  <c r="C213" i="1"/>
  <c r="C212" i="1"/>
  <c r="F130" i="1"/>
  <c r="F129" i="1"/>
  <c r="F128" i="1"/>
  <c r="F127" i="1"/>
  <c r="F126" i="1"/>
  <c r="F123" i="1"/>
  <c r="F218" i="1" s="1"/>
  <c r="F122" i="1"/>
  <c r="F217" i="1" s="1"/>
  <c r="F119" i="1"/>
  <c r="F118" i="1"/>
  <c r="D233" i="1"/>
  <c r="D231" i="1"/>
  <c r="D229" i="1"/>
  <c r="D227" i="1"/>
  <c r="P52" i="19" s="1"/>
  <c r="C227" i="1"/>
  <c r="D130" i="1"/>
  <c r="D129" i="1"/>
  <c r="D128" i="1"/>
  <c r="D127" i="1"/>
  <c r="D126" i="1"/>
  <c r="D123" i="1"/>
  <c r="D122" i="1"/>
  <c r="D119" i="1"/>
  <c r="D118" i="1"/>
  <c r="H213" i="1" s="1"/>
  <c r="C130" i="1"/>
  <c r="C129" i="1"/>
  <c r="C128" i="1"/>
  <c r="C127" i="1"/>
  <c r="C126" i="1"/>
  <c r="C125" i="1"/>
  <c r="C123" i="1"/>
  <c r="C122" i="1"/>
  <c r="C121" i="1"/>
  <c r="C119" i="1"/>
  <c r="C118" i="1"/>
  <c r="C117" i="1"/>
  <c r="K61" i="19" l="1"/>
  <c r="P54" i="19"/>
  <c r="K62" i="19"/>
  <c r="P56" i="19"/>
  <c r="K63" i="19"/>
  <c r="P58" i="19"/>
  <c r="E118" i="1"/>
  <c r="E119" i="1"/>
  <c r="E122" i="1"/>
  <c r="E123" i="1"/>
  <c r="E126" i="1"/>
  <c r="L35" i="14"/>
  <c r="L18" i="1" s="1"/>
  <c r="L36" i="14"/>
  <c r="L19" i="1" s="1"/>
  <c r="M34" i="14"/>
  <c r="M17" i="1" s="1"/>
  <c r="E127" i="1"/>
  <c r="E130" i="1"/>
  <c r="E129" i="1"/>
  <c r="E128" i="1"/>
  <c r="N34" i="14" l="1"/>
  <c r="N17" i="1" s="1"/>
  <c r="M36" i="14"/>
  <c r="M19" i="1" s="1"/>
  <c r="M35" i="14"/>
  <c r="M18" i="1" s="1"/>
  <c r="D115" i="1"/>
  <c r="E115" i="1" s="1"/>
  <c r="D111" i="1"/>
  <c r="E111" i="1" s="1"/>
  <c r="D107" i="1"/>
  <c r="E107" i="1" s="1"/>
  <c r="D103" i="1"/>
  <c r="E103" i="1" s="1"/>
  <c r="D99" i="1"/>
  <c r="E99" i="1" s="1"/>
  <c r="D95" i="1"/>
  <c r="E95" i="1" s="1"/>
  <c r="D91" i="1"/>
  <c r="E91" i="1" s="1"/>
  <c r="D87" i="1"/>
  <c r="E87" i="1" s="1"/>
  <c r="D83" i="1"/>
  <c r="E83" i="1" s="1"/>
  <c r="D79" i="1"/>
  <c r="E79" i="1" s="1"/>
  <c r="D75" i="1"/>
  <c r="E75" i="1" s="1"/>
  <c r="D71" i="1"/>
  <c r="E71" i="1" s="1"/>
  <c r="D67" i="1"/>
  <c r="E67" i="1" s="1"/>
  <c r="D63" i="1"/>
  <c r="E63" i="1" s="1"/>
  <c r="D59" i="1"/>
  <c r="E59" i="1" s="1"/>
  <c r="D55" i="1"/>
  <c r="E55" i="1" s="1"/>
  <c r="D51" i="1"/>
  <c r="E51" i="1" s="1"/>
  <c r="D47" i="1"/>
  <c r="E47" i="1" s="1"/>
  <c r="D43" i="1"/>
  <c r="E43" i="1" s="1"/>
  <c r="D114" i="1"/>
  <c r="E114" i="1" s="1"/>
  <c r="D110" i="1"/>
  <c r="E110" i="1" s="1"/>
  <c r="D106" i="1"/>
  <c r="E106" i="1" s="1"/>
  <c r="D102" i="1"/>
  <c r="E102" i="1" s="1"/>
  <c r="D98" i="1"/>
  <c r="E98" i="1" s="1"/>
  <c r="D94" i="1"/>
  <c r="E94" i="1" s="1"/>
  <c r="D90" i="1"/>
  <c r="E90" i="1" s="1"/>
  <c r="D86" i="1"/>
  <c r="E86" i="1" s="1"/>
  <c r="D82" i="1"/>
  <c r="E82" i="1" s="1"/>
  <c r="D78" i="1"/>
  <c r="E78" i="1" s="1"/>
  <c r="D74" i="1"/>
  <c r="E74" i="1" s="1"/>
  <c r="D70" i="1"/>
  <c r="E70" i="1" s="1"/>
  <c r="D66" i="1"/>
  <c r="E66" i="1" s="1"/>
  <c r="D62" i="1"/>
  <c r="E62" i="1" s="1"/>
  <c r="D58" i="1"/>
  <c r="E58" i="1" s="1"/>
  <c r="D54" i="1"/>
  <c r="E54" i="1" s="1"/>
  <c r="D50" i="1"/>
  <c r="E50" i="1" s="1"/>
  <c r="D46" i="1"/>
  <c r="E46" i="1" s="1"/>
  <c r="D42" i="1"/>
  <c r="E42" i="1" s="1"/>
  <c r="D113" i="1"/>
  <c r="E113" i="1" s="1"/>
  <c r="D109" i="1"/>
  <c r="E109" i="1" s="1"/>
  <c r="D105" i="1"/>
  <c r="E105" i="1" s="1"/>
  <c r="D101" i="1"/>
  <c r="E101" i="1" s="1"/>
  <c r="D97" i="1"/>
  <c r="E97" i="1" s="1"/>
  <c r="D93" i="1"/>
  <c r="E93" i="1" s="1"/>
  <c r="D89" i="1"/>
  <c r="E89" i="1" s="1"/>
  <c r="D85" i="1"/>
  <c r="E85" i="1" s="1"/>
  <c r="D81" i="1"/>
  <c r="E81" i="1" s="1"/>
  <c r="D77" i="1"/>
  <c r="E77" i="1" s="1"/>
  <c r="D73" i="1"/>
  <c r="E73" i="1" s="1"/>
  <c r="D69" i="1"/>
  <c r="E69" i="1" s="1"/>
  <c r="D65" i="1"/>
  <c r="E65" i="1" s="1"/>
  <c r="D61" i="1"/>
  <c r="E61" i="1" s="1"/>
  <c r="D57" i="1"/>
  <c r="E57" i="1" s="1"/>
  <c r="D53" i="1"/>
  <c r="E53" i="1" s="1"/>
  <c r="D49" i="1"/>
  <c r="E49" i="1" s="1"/>
  <c r="D45" i="1"/>
  <c r="E45" i="1" s="1"/>
  <c r="D41" i="1"/>
  <c r="E41" i="1" s="1"/>
  <c r="D112" i="1"/>
  <c r="E112" i="1" s="1"/>
  <c r="D108" i="1"/>
  <c r="E108" i="1" s="1"/>
  <c r="D104" i="1"/>
  <c r="E104" i="1" s="1"/>
  <c r="D100" i="1"/>
  <c r="E100" i="1" s="1"/>
  <c r="D96" i="1"/>
  <c r="E96" i="1" s="1"/>
  <c r="D92" i="1"/>
  <c r="E92" i="1" s="1"/>
  <c r="D88" i="1"/>
  <c r="E88" i="1" s="1"/>
  <c r="D84" i="1"/>
  <c r="E84" i="1" s="1"/>
  <c r="D80" i="1"/>
  <c r="E80" i="1" s="1"/>
  <c r="D76" i="1"/>
  <c r="E76" i="1" s="1"/>
  <c r="D72" i="1"/>
  <c r="E72" i="1" s="1"/>
  <c r="D68" i="1"/>
  <c r="E68" i="1" s="1"/>
  <c r="D64" i="1"/>
  <c r="E64" i="1" s="1"/>
  <c r="D60" i="1"/>
  <c r="E60" i="1" s="1"/>
  <c r="D56" i="1"/>
  <c r="E56" i="1" s="1"/>
  <c r="D52" i="1"/>
  <c r="E52" i="1" s="1"/>
  <c r="D48" i="1"/>
  <c r="E48" i="1" s="1"/>
  <c r="D44" i="1"/>
  <c r="E44" i="1" s="1"/>
  <c r="D40" i="1"/>
  <c r="E40" i="1" s="1"/>
  <c r="C34" i="1"/>
  <c r="C32" i="1"/>
  <c r="C30" i="1"/>
  <c r="B181" i="6"/>
  <c r="B175" i="6"/>
  <c r="B161" i="6"/>
  <c r="B153" i="6"/>
  <c r="B146" i="6"/>
  <c r="B137" i="6"/>
  <c r="B124" i="6"/>
  <c r="B118" i="6"/>
  <c r="B101" i="6"/>
  <c r="B92" i="6"/>
  <c r="B77" i="6"/>
  <c r="B69" i="6"/>
  <c r="B63" i="6"/>
  <c r="B56" i="6"/>
  <c r="B49" i="6"/>
  <c r="B42" i="6"/>
  <c r="B35" i="6"/>
  <c r="B28" i="6"/>
  <c r="G49" i="6"/>
  <c r="G42" i="6"/>
  <c r="G35" i="6"/>
  <c r="G28" i="6"/>
  <c r="G77" i="6"/>
  <c r="G69" i="6"/>
  <c r="G63" i="6"/>
  <c r="G64" i="6"/>
  <c r="G56" i="6"/>
  <c r="G101" i="6"/>
  <c r="G92" i="6"/>
  <c r="G124" i="6"/>
  <c r="G118" i="6"/>
  <c r="G137" i="6"/>
  <c r="G161" i="6"/>
  <c r="G153" i="6"/>
  <c r="G146" i="6"/>
  <c r="G181" i="6"/>
  <c r="G175" i="6"/>
  <c r="G20" i="6"/>
  <c r="G19" i="6"/>
  <c r="H67" i="1" l="1"/>
  <c r="N35" i="14"/>
  <c r="N18" i="1" s="1"/>
  <c r="N36" i="14"/>
  <c r="N19" i="1" s="1"/>
  <c r="O34" i="14"/>
  <c r="O17" i="1" s="1"/>
  <c r="H179" i="6"/>
  <c r="O36" i="14" l="1"/>
  <c r="O19" i="1" s="1"/>
  <c r="P34" i="14"/>
  <c r="P17" i="1" s="1"/>
  <c r="O35" i="14"/>
  <c r="O18" i="1" s="1"/>
  <c r="G195" i="6"/>
  <c r="G194" i="6"/>
  <c r="G191" i="6"/>
  <c r="G190" i="6"/>
  <c r="G187" i="6"/>
  <c r="G186" i="6"/>
  <c r="L13" i="6"/>
  <c r="M13" i="6"/>
  <c r="K13" i="6"/>
  <c r="Q34" i="14" l="1"/>
  <c r="Q17" i="1" s="1"/>
  <c r="P35" i="14"/>
  <c r="P18" i="1" s="1"/>
  <c r="P36" i="14"/>
  <c r="P19" i="1" s="1"/>
  <c r="C62" i="1"/>
  <c r="C108" i="1"/>
  <c r="C55" i="1"/>
  <c r="C63" i="1"/>
  <c r="C71" i="1"/>
  <c r="C95" i="1"/>
  <c r="C103" i="1"/>
  <c r="C111" i="1"/>
  <c r="C100" i="1"/>
  <c r="C72" i="1"/>
  <c r="C80" i="1"/>
  <c r="C88" i="1"/>
  <c r="C96" i="1"/>
  <c r="C104" i="1"/>
  <c r="C112" i="1"/>
  <c r="C49" i="1"/>
  <c r="C65" i="1"/>
  <c r="C81" i="1"/>
  <c r="C89" i="1"/>
  <c r="C97" i="1"/>
  <c r="C105" i="1"/>
  <c r="C113" i="1"/>
  <c r="C40" i="1"/>
  <c r="C74" i="1"/>
  <c r="C82" i="1"/>
  <c r="C98" i="1"/>
  <c r="C114" i="1"/>
  <c r="C41" i="1"/>
  <c r="C83" i="1"/>
  <c r="C91" i="1"/>
  <c r="C99" i="1"/>
  <c r="C107" i="1"/>
  <c r="C90" i="1"/>
  <c r="C57" i="1"/>
  <c r="C106" i="1"/>
  <c r="C84" i="1"/>
  <c r="C68" i="1"/>
  <c r="C46" i="1"/>
  <c r="C86" i="1"/>
  <c r="C54" i="1"/>
  <c r="C60" i="1"/>
  <c r="C70" i="1"/>
  <c r="C115" i="1"/>
  <c r="C45" i="1"/>
  <c r="C53" i="1"/>
  <c r="C76" i="1"/>
  <c r="C85" i="1"/>
  <c r="C87" i="1"/>
  <c r="C44" i="1"/>
  <c r="C61" i="1"/>
  <c r="C48" i="1"/>
  <c r="C56" i="1"/>
  <c r="C64" i="1"/>
  <c r="C75" i="1"/>
  <c r="C77" i="1"/>
  <c r="C92" i="1"/>
  <c r="H40" i="1"/>
  <c r="H135" i="1" s="1"/>
  <c r="C51" i="1"/>
  <c r="C59" i="1"/>
  <c r="C67" i="1"/>
  <c r="C78" i="1"/>
  <c r="C94" i="1"/>
  <c r="C102" i="1"/>
  <c r="C110" i="1"/>
  <c r="C47" i="1"/>
  <c r="C69" i="1"/>
  <c r="C42" i="1"/>
  <c r="C50" i="1"/>
  <c r="C58" i="1"/>
  <c r="C66" i="1"/>
  <c r="C73" i="1"/>
  <c r="C79" i="1"/>
  <c r="C93" i="1"/>
  <c r="C101" i="1"/>
  <c r="C109" i="1"/>
  <c r="C52" i="1"/>
  <c r="C43" i="1"/>
  <c r="G86" i="6"/>
  <c r="F47" i="1" l="1"/>
  <c r="F142" i="1" s="1"/>
  <c r="Q46" i="1"/>
  <c r="S47" i="1"/>
  <c r="Q36" i="14"/>
  <c r="Q19" i="1" s="1"/>
  <c r="Q35" i="14"/>
  <c r="Q18" i="1" s="1"/>
  <c r="R34" i="14"/>
  <c r="R17" i="1" s="1"/>
  <c r="P109" i="1"/>
  <c r="G106" i="1"/>
  <c r="N106" i="1"/>
  <c r="M106" i="1"/>
  <c r="J70" i="1"/>
  <c r="F46" i="1"/>
  <c r="F141" i="1" s="1"/>
  <c r="I106" i="1"/>
  <c r="F70" i="1"/>
  <c r="F165" i="1" s="1"/>
  <c r="F107" i="1"/>
  <c r="F202" i="1" s="1"/>
  <c r="F115" i="1"/>
  <c r="F210" i="1" s="1"/>
  <c r="F90" i="1"/>
  <c r="F185" i="1" s="1"/>
  <c r="F50" i="1"/>
  <c r="F145" i="1" s="1"/>
  <c r="F42" i="1"/>
  <c r="F137" i="1" s="1"/>
  <c r="F73" i="1"/>
  <c r="F168" i="1" s="1"/>
  <c r="Q109" i="1"/>
  <c r="K106" i="1"/>
  <c r="G46" i="1"/>
  <c r="G70" i="1"/>
  <c r="H41" i="1"/>
  <c r="G109" i="1"/>
  <c r="I109" i="1"/>
  <c r="O106" i="1"/>
  <c r="S106" i="1"/>
  <c r="Q106" i="1"/>
  <c r="P106" i="1"/>
  <c r="H106" i="1"/>
  <c r="O47" i="1"/>
  <c r="R47" i="1"/>
  <c r="H47" i="1"/>
  <c r="O46" i="1"/>
  <c r="Q47" i="1"/>
  <c r="I47" i="1"/>
  <c r="M47" i="1"/>
  <c r="N70" i="1"/>
  <c r="S46" i="1"/>
  <c r="I70" i="1"/>
  <c r="N109" i="1"/>
  <c r="O109" i="1"/>
  <c r="H109" i="1"/>
  <c r="L109" i="1"/>
  <c r="M109" i="1"/>
  <c r="R109" i="1"/>
  <c r="J109" i="1"/>
  <c r="S109" i="1"/>
  <c r="K109" i="1"/>
  <c r="L106" i="1"/>
  <c r="R106" i="1"/>
  <c r="J106" i="1"/>
  <c r="R70" i="1"/>
  <c r="K70" i="1"/>
  <c r="P70" i="1"/>
  <c r="Q70" i="1"/>
  <c r="L70" i="1"/>
  <c r="H70" i="1"/>
  <c r="S70" i="1"/>
  <c r="M70" i="1"/>
  <c r="K46" i="1"/>
  <c r="P46" i="1"/>
  <c r="K47" i="1"/>
  <c r="R46" i="1"/>
  <c r="R42" i="1"/>
  <c r="R50" i="1"/>
  <c r="G73" i="1"/>
  <c r="N50" i="1"/>
  <c r="L73" i="1"/>
  <c r="P73" i="1"/>
  <c r="K50" i="1"/>
  <c r="M50" i="1"/>
  <c r="H73" i="1"/>
  <c r="S73" i="1"/>
  <c r="O50" i="1"/>
  <c r="G50" i="1"/>
  <c r="M42" i="1"/>
  <c r="O73" i="1"/>
  <c r="K73" i="1"/>
  <c r="I42" i="1"/>
  <c r="H42" i="1"/>
  <c r="P50" i="1"/>
  <c r="Q42" i="1"/>
  <c r="Q50" i="1"/>
  <c r="Q73" i="1"/>
  <c r="M73" i="1"/>
  <c r="I50" i="1"/>
  <c r="L50" i="1"/>
  <c r="R73" i="1"/>
  <c r="I73" i="1"/>
  <c r="S42" i="1"/>
  <c r="O42" i="1"/>
  <c r="H50" i="1"/>
  <c r="J73" i="1"/>
  <c r="N73" i="1"/>
  <c r="M46" i="1"/>
  <c r="P47" i="1"/>
  <c r="I46" i="1"/>
  <c r="H46" i="1"/>
  <c r="N42" i="1"/>
  <c r="P42" i="1"/>
  <c r="M90" i="1"/>
  <c r="S50" i="1"/>
  <c r="J50" i="1"/>
  <c r="G90" i="1"/>
  <c r="R90" i="1"/>
  <c r="I90" i="1"/>
  <c r="O90" i="1"/>
  <c r="N90" i="1"/>
  <c r="S90" i="1"/>
  <c r="O70" i="1"/>
  <c r="K90" i="1"/>
  <c r="P90" i="1"/>
  <c r="Q90" i="1"/>
  <c r="R58" i="1"/>
  <c r="J103" i="1"/>
  <c r="F86" i="1"/>
  <c r="F181" i="1" s="1"/>
  <c r="F94" i="1"/>
  <c r="F189" i="1" s="1"/>
  <c r="I101" i="1"/>
  <c r="G78" i="1"/>
  <c r="F57" i="1"/>
  <c r="F152" i="1" s="1"/>
  <c r="F54" i="1"/>
  <c r="F149" i="1" s="1"/>
  <c r="S61" i="1"/>
  <c r="Q85" i="1"/>
  <c r="R81" i="1"/>
  <c r="F89" i="1"/>
  <c r="F184" i="1" s="1"/>
  <c r="F98" i="1"/>
  <c r="F193" i="1" s="1"/>
  <c r="L49" i="1"/>
  <c r="F105" i="1"/>
  <c r="F200" i="1" s="1"/>
  <c r="J110" i="1"/>
  <c r="F93" i="1"/>
  <c r="F188" i="1" s="1"/>
  <c r="F113" i="1"/>
  <c r="F208" i="1" s="1"/>
  <c r="F106" i="1"/>
  <c r="F201" i="1" s="1"/>
  <c r="G69" i="1"/>
  <c r="F102" i="1"/>
  <c r="F197" i="1" s="1"/>
  <c r="F109" i="1"/>
  <c r="F204" i="1" s="1"/>
  <c r="G47" i="1"/>
  <c r="I57" i="1"/>
  <c r="G57" i="1"/>
  <c r="J57" i="1"/>
  <c r="N89" i="1"/>
  <c r="N57" i="1"/>
  <c r="G89" i="1"/>
  <c r="R89" i="1"/>
  <c r="K89" i="1"/>
  <c r="P89" i="1"/>
  <c r="M89" i="1"/>
  <c r="S89" i="1"/>
  <c r="G77" i="1"/>
  <c r="I89" i="1"/>
  <c r="P48" i="1"/>
  <c r="H44" i="1"/>
  <c r="F41" i="1"/>
  <c r="F136" i="1" s="1"/>
  <c r="Q89" i="1"/>
  <c r="O89" i="1"/>
  <c r="H57" i="1"/>
  <c r="M57" i="1"/>
  <c r="S57" i="1"/>
  <c r="I45" i="1"/>
  <c r="G45" i="1"/>
  <c r="G87" i="1"/>
  <c r="K58" i="1"/>
  <c r="Q58" i="1"/>
  <c r="M107" i="1"/>
  <c r="Q107" i="1"/>
  <c r="I107" i="1"/>
  <c r="O57" i="1"/>
  <c r="S75" i="1"/>
  <c r="P57" i="1"/>
  <c r="K57" i="1"/>
  <c r="L57" i="1"/>
  <c r="F79" i="1"/>
  <c r="F174" i="1" s="1"/>
  <c r="R57" i="1"/>
  <c r="P69" i="1"/>
  <c r="O69" i="1"/>
  <c r="S63" i="1"/>
  <c r="G115" i="1"/>
  <c r="J63" i="1"/>
  <c r="M63" i="1"/>
  <c r="K63" i="1"/>
  <c r="N63" i="1"/>
  <c r="G63" i="1"/>
  <c r="L63" i="1"/>
  <c r="O63" i="1"/>
  <c r="H63" i="1"/>
  <c r="Q63" i="1"/>
  <c r="F78" i="1"/>
  <c r="F173" i="1" s="1"/>
  <c r="I63" i="1"/>
  <c r="R63" i="1"/>
  <c r="I75" i="1"/>
  <c r="N78" i="1"/>
  <c r="G54" i="1"/>
  <c r="G81" i="1"/>
  <c r="R107" i="1"/>
  <c r="S107" i="1"/>
  <c r="N69" i="1"/>
  <c r="J107" i="1"/>
  <c r="O107" i="1"/>
  <c r="K107" i="1"/>
  <c r="S113" i="1"/>
  <c r="N107" i="1"/>
  <c r="F59" i="1"/>
  <c r="F154" i="1" s="1"/>
  <c r="R113" i="1"/>
  <c r="H107" i="1"/>
  <c r="R41" i="1"/>
  <c r="P107" i="1"/>
  <c r="L107" i="1"/>
  <c r="K69" i="1"/>
  <c r="G107" i="1"/>
  <c r="P41" i="1"/>
  <c r="G66" i="1"/>
  <c r="P45" i="1"/>
  <c r="G74" i="1"/>
  <c r="O81" i="1"/>
  <c r="O66" i="1"/>
  <c r="F51" i="1"/>
  <c r="F146" i="1" s="1"/>
  <c r="P114" i="1"/>
  <c r="Q59" i="1"/>
  <c r="K78" i="1"/>
  <c r="Q78" i="1"/>
  <c r="S41" i="1"/>
  <c r="S69" i="1"/>
  <c r="O45" i="1"/>
  <c r="J69" i="1"/>
  <c r="Q115" i="1"/>
  <c r="Q113" i="1"/>
  <c r="H69" i="1"/>
  <c r="L69" i="1"/>
  <c r="O41" i="1"/>
  <c r="R75" i="1"/>
  <c r="Q69" i="1"/>
  <c r="M69" i="1"/>
  <c r="G75" i="1"/>
  <c r="G105" i="1"/>
  <c r="I41" i="1"/>
  <c r="N41" i="1"/>
  <c r="S67" i="1"/>
  <c r="O113" i="1"/>
  <c r="I69" i="1"/>
  <c r="H58" i="1"/>
  <c r="G65" i="1"/>
  <c r="F58" i="1"/>
  <c r="F153" i="1" s="1"/>
  <c r="Q41" i="1"/>
  <c r="P113" i="1"/>
  <c r="M58" i="1"/>
  <c r="L53" i="1"/>
  <c r="O58" i="1"/>
  <c r="N94" i="1"/>
  <c r="M54" i="1"/>
  <c r="N93" i="1"/>
  <c r="N58" i="1"/>
  <c r="P65" i="1"/>
  <c r="G93" i="1"/>
  <c r="I53" i="1"/>
  <c r="J75" i="1"/>
  <c r="O75" i="1"/>
  <c r="M75" i="1"/>
  <c r="J54" i="1"/>
  <c r="S102" i="1"/>
  <c r="M41" i="1"/>
  <c r="P75" i="1"/>
  <c r="P58" i="1"/>
  <c r="Q45" i="1"/>
  <c r="R45" i="1"/>
  <c r="S94" i="1"/>
  <c r="G53" i="1"/>
  <c r="L75" i="1"/>
  <c r="Q75" i="1"/>
  <c r="I58" i="1"/>
  <c r="L58" i="1"/>
  <c r="N102" i="1"/>
  <c r="J102" i="1"/>
  <c r="G43" i="1"/>
  <c r="F99" i="1"/>
  <c r="F194" i="1" s="1"/>
  <c r="O67" i="1"/>
  <c r="K54" i="1"/>
  <c r="R77" i="1"/>
  <c r="H77" i="1"/>
  <c r="K77" i="1"/>
  <c r="R54" i="1"/>
  <c r="N54" i="1"/>
  <c r="Q51" i="1"/>
  <c r="I65" i="1"/>
  <c r="N77" i="1"/>
  <c r="K45" i="1"/>
  <c r="I51" i="1"/>
  <c r="I67" i="1"/>
  <c r="S74" i="1"/>
  <c r="N85" i="1"/>
  <c r="O54" i="1"/>
  <c r="P54" i="1"/>
  <c r="P99" i="1"/>
  <c r="I66" i="1"/>
  <c r="Q77" i="1"/>
  <c r="Q54" i="1"/>
  <c r="G103" i="1"/>
  <c r="N103" i="1"/>
  <c r="I54" i="1"/>
  <c r="L54" i="1"/>
  <c r="H54" i="1"/>
  <c r="S103" i="1"/>
  <c r="L101" i="1"/>
  <c r="I102" i="1"/>
  <c r="Q102" i="1"/>
  <c r="G61" i="1"/>
  <c r="J49" i="1"/>
  <c r="R103" i="1"/>
  <c r="L105" i="1"/>
  <c r="S111" i="1"/>
  <c r="K101" i="1"/>
  <c r="S45" i="1"/>
  <c r="H102" i="1"/>
  <c r="G102" i="1" s="1"/>
  <c r="O71" i="1"/>
  <c r="L71" i="1"/>
  <c r="S62" i="1"/>
  <c r="S81" i="1"/>
  <c r="L102" i="1"/>
  <c r="G49" i="1"/>
  <c r="K62" i="1"/>
  <c r="H105" i="1"/>
  <c r="S105" i="1"/>
  <c r="I81" i="1"/>
  <c r="H101" i="1"/>
  <c r="S86" i="1"/>
  <c r="R86" i="1"/>
  <c r="G55" i="1"/>
  <c r="G97" i="1"/>
  <c r="O95" i="1"/>
  <c r="M102" i="1"/>
  <c r="P102" i="1"/>
  <c r="J78" i="1"/>
  <c r="G62" i="1"/>
  <c r="Q114" i="1"/>
  <c r="O114" i="1"/>
  <c r="S114" i="1"/>
  <c r="R105" i="1"/>
  <c r="Q95" i="1"/>
  <c r="O102" i="1"/>
  <c r="K102" i="1"/>
  <c r="P86" i="1"/>
  <c r="I91" i="1"/>
  <c r="R83" i="1"/>
  <c r="S91" i="1"/>
  <c r="M59" i="1"/>
  <c r="N97" i="1"/>
  <c r="F81" i="1"/>
  <c r="F176" i="1" s="1"/>
  <c r="Q81" i="1"/>
  <c r="M81" i="1"/>
  <c r="P81" i="1"/>
  <c r="J81" i="1"/>
  <c r="L81" i="1"/>
  <c r="K81" i="1"/>
  <c r="H81" i="1"/>
  <c r="N81" i="1"/>
  <c r="G59" i="1"/>
  <c r="P59" i="1"/>
  <c r="N59" i="1"/>
  <c r="H59" i="1"/>
  <c r="S59" i="1"/>
  <c r="L59" i="1"/>
  <c r="K59" i="1"/>
  <c r="I59" i="1"/>
  <c r="N91" i="1"/>
  <c r="M83" i="1"/>
  <c r="O59" i="1"/>
  <c r="F103" i="1"/>
  <c r="F198" i="1" s="1"/>
  <c r="I103" i="1"/>
  <c r="Q103" i="1"/>
  <c r="M103" i="1"/>
  <c r="L103" i="1"/>
  <c r="P103" i="1"/>
  <c r="H103" i="1"/>
  <c r="K103" i="1"/>
  <c r="O103" i="1"/>
  <c r="R43" i="1"/>
  <c r="P91" i="1"/>
  <c r="S83" i="1"/>
  <c r="K75" i="1"/>
  <c r="N75" i="1"/>
  <c r="H75" i="1"/>
  <c r="K111" i="1"/>
  <c r="O111" i="1"/>
  <c r="J111" i="1"/>
  <c r="P111" i="1"/>
  <c r="Q91" i="1"/>
  <c r="G83" i="1"/>
  <c r="K52" i="1"/>
  <c r="G91" i="1"/>
  <c r="Q43" i="1"/>
  <c r="R114" i="1"/>
  <c r="R99" i="1"/>
  <c r="R59" i="1"/>
  <c r="O51" i="1"/>
  <c r="N51" i="1"/>
  <c r="H51" i="1"/>
  <c r="M51" i="1"/>
  <c r="J51" i="1"/>
  <c r="R51" i="1"/>
  <c r="R87" i="1"/>
  <c r="O87" i="1"/>
  <c r="S87" i="1"/>
  <c r="F53" i="1"/>
  <c r="F148" i="1" s="1"/>
  <c r="J53" i="1"/>
  <c r="K53" i="1"/>
  <c r="P53" i="1"/>
  <c r="Q53" i="1"/>
  <c r="R53" i="1"/>
  <c r="S53" i="1"/>
  <c r="O53" i="1"/>
  <c r="H53" i="1"/>
  <c r="M53" i="1"/>
  <c r="N53" i="1"/>
  <c r="P43" i="1"/>
  <c r="P108" i="1"/>
  <c r="J59" i="1"/>
  <c r="F97" i="1"/>
  <c r="F192" i="1" s="1"/>
  <c r="Q97" i="1"/>
  <c r="R97" i="1"/>
  <c r="P97" i="1"/>
  <c r="Q99" i="1"/>
  <c r="Q111" i="1"/>
  <c r="Q67" i="1"/>
  <c r="J105" i="1"/>
  <c r="M110" i="1"/>
  <c r="L74" i="1"/>
  <c r="N71" i="1"/>
  <c r="S54" i="1"/>
  <c r="Q74" i="1"/>
  <c r="N105" i="1"/>
  <c r="K105" i="1"/>
  <c r="N86" i="1"/>
  <c r="R67" i="1"/>
  <c r="I74" i="1"/>
  <c r="N74" i="1"/>
  <c r="H65" i="1"/>
  <c r="N101" i="1"/>
  <c r="J101" i="1"/>
  <c r="R95" i="1"/>
  <c r="M77" i="1"/>
  <c r="R115" i="1"/>
  <c r="J67" i="1"/>
  <c r="N49" i="1"/>
  <c r="P105" i="1"/>
  <c r="O105" i="1"/>
  <c r="Q105" i="1"/>
  <c r="R102" i="1"/>
  <c r="Q94" i="1"/>
  <c r="O86" i="1"/>
  <c r="Q57" i="1"/>
  <c r="M44" i="1"/>
  <c r="Q88" i="1"/>
  <c r="P88" i="1"/>
  <c r="O88" i="1"/>
  <c r="R88" i="1"/>
  <c r="N88" i="1"/>
  <c r="M88" i="1"/>
  <c r="I88" i="1"/>
  <c r="K88" i="1"/>
  <c r="S88" i="1"/>
  <c r="G82" i="1"/>
  <c r="M43" i="1"/>
  <c r="M52" i="1"/>
  <c r="O99" i="1"/>
  <c r="M91" i="1"/>
  <c r="K91" i="1"/>
  <c r="O83" i="1"/>
  <c r="K83" i="1"/>
  <c r="S108" i="1"/>
  <c r="Q108" i="1"/>
  <c r="F82" i="1"/>
  <c r="F177" i="1" s="1"/>
  <c r="Q82" i="1"/>
  <c r="M82" i="1"/>
  <c r="S82" i="1"/>
  <c r="J82" i="1"/>
  <c r="O82" i="1"/>
  <c r="H82" i="1"/>
  <c r="R82" i="1"/>
  <c r="O92" i="1"/>
  <c r="S92" i="1"/>
  <c r="N92" i="1"/>
  <c r="R92" i="1"/>
  <c r="P92" i="1"/>
  <c r="Q92" i="1"/>
  <c r="M48" i="1"/>
  <c r="F91" i="1"/>
  <c r="F186" i="1" s="1"/>
  <c r="L83" i="1"/>
  <c r="H83" i="1"/>
  <c r="N98" i="1"/>
  <c r="P82" i="1"/>
  <c r="L82" i="1"/>
  <c r="K76" i="1"/>
  <c r="O76" i="1"/>
  <c r="S76" i="1"/>
  <c r="I76" i="1"/>
  <c r="M76" i="1"/>
  <c r="J76" i="1"/>
  <c r="R76" i="1"/>
  <c r="Q76" i="1"/>
  <c r="L76" i="1"/>
  <c r="H76" i="1"/>
  <c r="P76" i="1"/>
  <c r="N76" i="1"/>
  <c r="F43" i="1"/>
  <c r="F138" i="1" s="1"/>
  <c r="S52" i="1"/>
  <c r="Q66" i="1"/>
  <c r="I43" i="1"/>
  <c r="N52" i="1"/>
  <c r="G98" i="1"/>
  <c r="S98" i="1"/>
  <c r="Q98" i="1"/>
  <c r="P98" i="1"/>
  <c r="H52" i="1"/>
  <c r="P52" i="1"/>
  <c r="I52" i="1"/>
  <c r="L52" i="1"/>
  <c r="Q52" i="1"/>
  <c r="J52" i="1"/>
  <c r="O52" i="1"/>
  <c r="O43" i="1"/>
  <c r="S99" i="1"/>
  <c r="I83" i="1"/>
  <c r="J108" i="1"/>
  <c r="O98" i="1"/>
  <c r="R98" i="1"/>
  <c r="K82" i="1"/>
  <c r="N82" i="1"/>
  <c r="I44" i="1"/>
  <c r="K44" i="1"/>
  <c r="S44" i="1"/>
  <c r="R44" i="1"/>
  <c r="Q44" i="1"/>
  <c r="O44" i="1"/>
  <c r="I100" i="1"/>
  <c r="M100" i="1"/>
  <c r="Q100" i="1"/>
  <c r="H100" i="1"/>
  <c r="L100" i="1"/>
  <c r="N100" i="1"/>
  <c r="P100" i="1"/>
  <c r="K100" i="1"/>
  <c r="O100" i="1"/>
  <c r="S100" i="1"/>
  <c r="J100" i="1"/>
  <c r="R100" i="1"/>
  <c r="S104" i="1"/>
  <c r="J104" i="1"/>
  <c r="N104" i="1"/>
  <c r="H104" i="1"/>
  <c r="R104" i="1"/>
  <c r="I104" i="1"/>
  <c r="M104" i="1"/>
  <c r="Q104" i="1"/>
  <c r="P104" i="1"/>
  <c r="L104" i="1"/>
  <c r="K104" i="1"/>
  <c r="O104" i="1"/>
  <c r="P84" i="1"/>
  <c r="O84" i="1"/>
  <c r="N84" i="1"/>
  <c r="S84" i="1"/>
  <c r="Q84" i="1"/>
  <c r="R84" i="1"/>
  <c r="H108" i="1"/>
  <c r="R108" i="1"/>
  <c r="I108" i="1"/>
  <c r="M108" i="1"/>
  <c r="K108" i="1"/>
  <c r="O108" i="1"/>
  <c r="S43" i="1"/>
  <c r="N43" i="1"/>
  <c r="F114" i="1"/>
  <c r="F209" i="1" s="1"/>
  <c r="N99" i="1"/>
  <c r="O91" i="1"/>
  <c r="R91" i="1"/>
  <c r="Q83" i="1"/>
  <c r="N83" i="1"/>
  <c r="N108" i="1"/>
  <c r="L108" i="1"/>
  <c r="P44" i="1"/>
  <c r="I82" i="1"/>
  <c r="L72" i="1"/>
  <c r="P72" i="1"/>
  <c r="Q72" i="1"/>
  <c r="R72" i="1"/>
  <c r="I72" i="1"/>
  <c r="N72" i="1"/>
  <c r="K72" i="1"/>
  <c r="S72" i="1"/>
  <c r="M72" i="1"/>
  <c r="O72" i="1"/>
  <c r="J72" i="1"/>
  <c r="H72" i="1"/>
  <c r="Q96" i="1"/>
  <c r="P96" i="1"/>
  <c r="O96" i="1"/>
  <c r="S96" i="1"/>
  <c r="N96" i="1"/>
  <c r="R96" i="1"/>
  <c r="I48" i="1"/>
  <c r="H48" i="1"/>
  <c r="N48" i="1"/>
  <c r="J48" i="1"/>
  <c r="L48" i="1"/>
  <c r="R48" i="1"/>
  <c r="O48" i="1"/>
  <c r="Q48" i="1"/>
  <c r="K48" i="1"/>
  <c r="S48" i="1"/>
  <c r="R80" i="1"/>
  <c r="P80" i="1"/>
  <c r="L80" i="1"/>
  <c r="N80" i="1"/>
  <c r="Q80" i="1"/>
  <c r="O80" i="1"/>
  <c r="K80" i="1"/>
  <c r="I80" i="1"/>
  <c r="S80" i="1"/>
  <c r="H80" i="1"/>
  <c r="M80" i="1"/>
  <c r="J80" i="1"/>
  <c r="L68" i="1"/>
  <c r="M68" i="1"/>
  <c r="H68" i="1"/>
  <c r="K68" i="1"/>
  <c r="S68" i="1"/>
  <c r="P68" i="1"/>
  <c r="J68" i="1"/>
  <c r="O68" i="1"/>
  <c r="R68" i="1"/>
  <c r="Q68" i="1"/>
  <c r="N68" i="1"/>
  <c r="I68" i="1"/>
  <c r="R112" i="1"/>
  <c r="Q112" i="1"/>
  <c r="P112" i="1"/>
  <c r="O112" i="1"/>
  <c r="S112" i="1"/>
  <c r="H43" i="1"/>
  <c r="G99" i="1"/>
  <c r="F83" i="1"/>
  <c r="F178" i="1" s="1"/>
  <c r="P83" i="1"/>
  <c r="J83" i="1"/>
  <c r="R52" i="1"/>
  <c r="F66" i="1"/>
  <c r="F161" i="1" s="1"/>
  <c r="S66" i="1"/>
  <c r="J66" i="1"/>
  <c r="H66" i="1"/>
  <c r="R66" i="1"/>
  <c r="L66" i="1"/>
  <c r="P66" i="1"/>
  <c r="F65" i="1"/>
  <c r="F160" i="1" s="1"/>
  <c r="J65" i="1"/>
  <c r="R65" i="1"/>
  <c r="O49" i="1"/>
  <c r="J79" i="1"/>
  <c r="M55" i="1"/>
  <c r="F67" i="1"/>
  <c r="F162" i="1" s="1"/>
  <c r="L67" i="1"/>
  <c r="K71" i="1"/>
  <c r="R71" i="1"/>
  <c r="P71" i="1"/>
  <c r="M71" i="1"/>
  <c r="L65" i="1"/>
  <c r="S49" i="1"/>
  <c r="M111" i="1"/>
  <c r="N79" i="1"/>
  <c r="J55" i="1"/>
  <c r="O55" i="1"/>
  <c r="P61" i="1"/>
  <c r="F74" i="1"/>
  <c r="F169" i="1" s="1"/>
  <c r="K74" i="1"/>
  <c r="P74" i="1"/>
  <c r="M74" i="1"/>
  <c r="H71" i="1"/>
  <c r="I71" i="1"/>
  <c r="Q65" i="1"/>
  <c r="P49" i="1"/>
  <c r="K49" i="1"/>
  <c r="F111" i="1"/>
  <c r="F206" i="1" s="1"/>
  <c r="N111" i="1"/>
  <c r="R111" i="1"/>
  <c r="I111" i="1"/>
  <c r="S79" i="1"/>
  <c r="J61" i="1"/>
  <c r="G79" i="1"/>
  <c r="M79" i="1"/>
  <c r="P79" i="1"/>
  <c r="H79" i="1"/>
  <c r="F63" i="1"/>
  <c r="F158" i="1" s="1"/>
  <c r="P63" i="1"/>
  <c r="K79" i="1"/>
  <c r="Q79" i="1"/>
  <c r="F61" i="1"/>
  <c r="F156" i="1" s="1"/>
  <c r="K61" i="1"/>
  <c r="O61" i="1"/>
  <c r="R61" i="1"/>
  <c r="H61" i="1"/>
  <c r="I61" i="1"/>
  <c r="L61" i="1"/>
  <c r="Q61" i="1"/>
  <c r="N61" i="1"/>
  <c r="G51" i="1"/>
  <c r="S51" i="1"/>
  <c r="P51" i="1"/>
  <c r="K51" i="1"/>
  <c r="L51" i="1"/>
  <c r="L79" i="1"/>
  <c r="I79" i="1"/>
  <c r="N55" i="1"/>
  <c r="F87" i="1"/>
  <c r="F182" i="1" s="1"/>
  <c r="N87" i="1"/>
  <c r="P87" i="1"/>
  <c r="Q87" i="1"/>
  <c r="F85" i="1"/>
  <c r="F180" i="1" s="1"/>
  <c r="R85" i="1"/>
  <c r="P85" i="1"/>
  <c r="O85" i="1"/>
  <c r="S85" i="1"/>
  <c r="F71" i="1"/>
  <c r="F166" i="1" s="1"/>
  <c r="G71" i="1"/>
  <c r="R74" i="1"/>
  <c r="H74" i="1"/>
  <c r="S71" i="1"/>
  <c r="Q71" i="1"/>
  <c r="F49" i="1"/>
  <c r="F144" i="1" s="1"/>
  <c r="I49" i="1"/>
  <c r="R49" i="1"/>
  <c r="Q49" i="1"/>
  <c r="H49" i="1"/>
  <c r="M105" i="1"/>
  <c r="I105" i="1"/>
  <c r="L111" i="1"/>
  <c r="O79" i="1"/>
  <c r="H55" i="1"/>
  <c r="Q55" i="1"/>
  <c r="P67" i="1"/>
  <c r="F55" i="1"/>
  <c r="F150" i="1" s="1"/>
  <c r="S55" i="1"/>
  <c r="P55" i="1"/>
  <c r="L55" i="1"/>
  <c r="K55" i="1"/>
  <c r="R55" i="1"/>
  <c r="I55" i="1"/>
  <c r="J74" i="1"/>
  <c r="O74" i="1"/>
  <c r="J71" i="1"/>
  <c r="S97" i="1"/>
  <c r="O97" i="1"/>
  <c r="O65" i="1"/>
  <c r="S65" i="1"/>
  <c r="M49" i="1"/>
  <c r="H111" i="1"/>
  <c r="G111" i="1" s="1"/>
  <c r="R79" i="1"/>
  <c r="M61" i="1"/>
  <c r="M101" i="1"/>
  <c r="Q101" i="1"/>
  <c r="N95" i="1"/>
  <c r="S95" i="1"/>
  <c r="F77" i="1"/>
  <c r="F172" i="1" s="1"/>
  <c r="S77" i="1"/>
  <c r="O77" i="1"/>
  <c r="J77" i="1"/>
  <c r="L77" i="1"/>
  <c r="P77" i="1"/>
  <c r="I77" i="1"/>
  <c r="F75" i="1"/>
  <c r="F170" i="1" s="1"/>
  <c r="P101" i="1"/>
  <c r="P95" i="1"/>
  <c r="F101" i="1"/>
  <c r="F196" i="1" s="1"/>
  <c r="S101" i="1"/>
  <c r="O101" i="1"/>
  <c r="S110" i="1"/>
  <c r="R101" i="1"/>
  <c r="F95" i="1"/>
  <c r="F190" i="1" s="1"/>
  <c r="N110" i="1"/>
  <c r="F110" i="1"/>
  <c r="F205" i="1" s="1"/>
  <c r="L110" i="1"/>
  <c r="P110" i="1"/>
  <c r="Q110" i="1"/>
  <c r="K110" i="1"/>
  <c r="O110" i="1"/>
  <c r="R110" i="1"/>
  <c r="H110" i="1"/>
  <c r="I110" i="1"/>
  <c r="M45" i="1"/>
  <c r="R94" i="1"/>
  <c r="P78" i="1"/>
  <c r="L78" i="1"/>
  <c r="P62" i="1"/>
  <c r="M62" i="1"/>
  <c r="P115" i="1"/>
  <c r="H45" i="1"/>
  <c r="R93" i="1"/>
  <c r="Q62" i="1"/>
  <c r="F69" i="1"/>
  <c r="F164" i="1" s="1"/>
  <c r="I78" i="1"/>
  <c r="M78" i="1"/>
  <c r="R62" i="1"/>
  <c r="I62" i="1"/>
  <c r="N62" i="1"/>
  <c r="O93" i="1"/>
  <c r="R78" i="1"/>
  <c r="H78" i="1"/>
  <c r="J62" i="1"/>
  <c r="H62" i="1"/>
  <c r="S58" i="1"/>
  <c r="R69" i="1"/>
  <c r="F62" i="1"/>
  <c r="F157" i="1" s="1"/>
  <c r="O62" i="1"/>
  <c r="P93" i="1"/>
  <c r="O94" i="1"/>
  <c r="P94" i="1"/>
  <c r="Q86" i="1"/>
  <c r="S115" i="1"/>
  <c r="G58" i="1"/>
  <c r="S78" i="1"/>
  <c r="O78" i="1"/>
  <c r="L62" i="1"/>
  <c r="O115" i="1"/>
  <c r="S93" i="1"/>
  <c r="Q93" i="1"/>
  <c r="F45" i="1"/>
  <c r="F140" i="1" s="1"/>
  <c r="J58" i="1"/>
  <c r="F44" i="1"/>
  <c r="F100" i="1"/>
  <c r="G100" i="1"/>
  <c r="F80" i="1"/>
  <c r="F96" i="1"/>
  <c r="F48" i="1"/>
  <c r="F52" i="1"/>
  <c r="F104" i="1"/>
  <c r="F84" i="1"/>
  <c r="F68" i="1"/>
  <c r="F72" i="1"/>
  <c r="F108" i="1"/>
  <c r="F112" i="1"/>
  <c r="F88" i="1"/>
  <c r="F92" i="1"/>
  <c r="F76" i="1"/>
  <c r="N27" i="6"/>
  <c r="N44" i="1" s="1"/>
  <c r="L27" i="6"/>
  <c r="J27" i="6"/>
  <c r="J44" i="1" s="1"/>
  <c r="G22" i="6"/>
  <c r="G23" i="6"/>
  <c r="G24" i="6"/>
  <c r="G25" i="6"/>
  <c r="G26" i="6"/>
  <c r="G29" i="6"/>
  <c r="G30" i="6"/>
  <c r="G31" i="6"/>
  <c r="G32" i="6"/>
  <c r="G33" i="6"/>
  <c r="G34" i="6"/>
  <c r="G36" i="6"/>
  <c r="G37" i="6"/>
  <c r="G38" i="6"/>
  <c r="G39" i="6"/>
  <c r="G40" i="6"/>
  <c r="G41" i="6"/>
  <c r="G43" i="6"/>
  <c r="G44" i="6"/>
  <c r="G45" i="6"/>
  <c r="G46" i="6"/>
  <c r="G47" i="6"/>
  <c r="G48" i="6"/>
  <c r="G50" i="6"/>
  <c r="G51" i="6"/>
  <c r="G52" i="6"/>
  <c r="G53" i="6"/>
  <c r="G54" i="6"/>
  <c r="G55" i="6"/>
  <c r="G57" i="6"/>
  <c r="G58" i="6"/>
  <c r="G59" i="6"/>
  <c r="G61" i="6"/>
  <c r="G65" i="6"/>
  <c r="G66" i="6"/>
  <c r="G67" i="6"/>
  <c r="G68" i="6"/>
  <c r="G70" i="6"/>
  <c r="G71" i="6"/>
  <c r="G72" i="6"/>
  <c r="G73" i="6"/>
  <c r="G74" i="6"/>
  <c r="G75" i="6"/>
  <c r="G76" i="6"/>
  <c r="G78" i="6"/>
  <c r="G79" i="6"/>
  <c r="G80" i="6"/>
  <c r="G81" i="6"/>
  <c r="G82" i="6"/>
  <c r="G83" i="6"/>
  <c r="G84" i="6"/>
  <c r="G85" i="6"/>
  <c r="G87" i="6"/>
  <c r="G88" i="6"/>
  <c r="G89" i="6"/>
  <c r="G90" i="6"/>
  <c r="G91" i="6"/>
  <c r="G93" i="6"/>
  <c r="G94" i="6"/>
  <c r="G95" i="6"/>
  <c r="G96" i="6"/>
  <c r="G97" i="6"/>
  <c r="G98" i="6"/>
  <c r="G99" i="6"/>
  <c r="G100" i="6"/>
  <c r="G102" i="6"/>
  <c r="G103" i="6"/>
  <c r="G104" i="6"/>
  <c r="G105" i="6"/>
  <c r="G106" i="6"/>
  <c r="G107" i="6"/>
  <c r="G119" i="6"/>
  <c r="G120" i="6"/>
  <c r="G121" i="6"/>
  <c r="G122" i="6"/>
  <c r="G125" i="6"/>
  <c r="G126" i="6"/>
  <c r="G127" i="6"/>
  <c r="G128" i="6"/>
  <c r="G130" i="6"/>
  <c r="G132" i="6"/>
  <c r="G133" i="6"/>
  <c r="G134" i="6"/>
  <c r="G135" i="6"/>
  <c r="G136" i="6"/>
  <c r="G138" i="6"/>
  <c r="G139" i="6"/>
  <c r="G140" i="6"/>
  <c r="G142" i="6"/>
  <c r="G147" i="6"/>
  <c r="G148" i="6"/>
  <c r="G149" i="6"/>
  <c r="G150" i="6"/>
  <c r="G151" i="6"/>
  <c r="G152" i="6"/>
  <c r="G154" i="6"/>
  <c r="G155" i="6"/>
  <c r="G156" i="6"/>
  <c r="G157" i="6"/>
  <c r="G158" i="6"/>
  <c r="G159" i="6"/>
  <c r="G160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6" i="6"/>
  <c r="G177" i="6"/>
  <c r="G178" i="6"/>
  <c r="G182" i="6"/>
  <c r="K12" i="6"/>
  <c r="K42" i="1" s="1"/>
  <c r="L12" i="6"/>
  <c r="L42" i="1" s="1"/>
  <c r="J12" i="6"/>
  <c r="J42" i="1" s="1"/>
  <c r="G9" i="6"/>
  <c r="G10" i="6"/>
  <c r="G11" i="6"/>
  <c r="G13" i="6"/>
  <c r="G14" i="6"/>
  <c r="G15" i="6"/>
  <c r="G16" i="6"/>
  <c r="G17" i="6"/>
  <c r="G18" i="6"/>
  <c r="G21" i="6"/>
  <c r="G8" i="6"/>
  <c r="I179" i="6"/>
  <c r="J179" i="6"/>
  <c r="K179" i="6"/>
  <c r="L179" i="6"/>
  <c r="M179" i="6"/>
  <c r="N179" i="6"/>
  <c r="I180" i="6"/>
  <c r="J180" i="6"/>
  <c r="K180" i="6"/>
  <c r="L180" i="6"/>
  <c r="M180" i="6"/>
  <c r="N180" i="6"/>
  <c r="H180" i="6"/>
  <c r="L145" i="6"/>
  <c r="J145" i="6"/>
  <c r="H145" i="6"/>
  <c r="M144" i="6"/>
  <c r="M99" i="1" s="1"/>
  <c r="K144" i="6"/>
  <c r="K98" i="1" s="1"/>
  <c r="I144" i="6"/>
  <c r="I98" i="1" s="1"/>
  <c r="L143" i="6"/>
  <c r="J143" i="6"/>
  <c r="H143" i="6"/>
  <c r="L141" i="6"/>
  <c r="J141" i="6"/>
  <c r="H141" i="6"/>
  <c r="M131" i="6"/>
  <c r="L131" i="6"/>
  <c r="K131" i="6"/>
  <c r="J131" i="6"/>
  <c r="I131" i="6"/>
  <c r="H131" i="6"/>
  <c r="M129" i="6"/>
  <c r="L129" i="6"/>
  <c r="K129" i="6"/>
  <c r="J129" i="6"/>
  <c r="I129" i="6"/>
  <c r="H129" i="6"/>
  <c r="L123" i="6"/>
  <c r="L91" i="1" s="1"/>
  <c r="J123" i="6"/>
  <c r="H123" i="6"/>
  <c r="H91" i="1" s="1"/>
  <c r="L117" i="6"/>
  <c r="J117" i="6"/>
  <c r="H117" i="6"/>
  <c r="L116" i="6"/>
  <c r="J116" i="6"/>
  <c r="H116" i="6"/>
  <c r="L115" i="6"/>
  <c r="J115" i="6"/>
  <c r="H115" i="6"/>
  <c r="I114" i="6"/>
  <c r="J114" i="6"/>
  <c r="K114" i="6"/>
  <c r="L114" i="6"/>
  <c r="H114" i="6"/>
  <c r="L113" i="6"/>
  <c r="J113" i="6"/>
  <c r="H113" i="6"/>
  <c r="L112" i="6"/>
  <c r="J112" i="6"/>
  <c r="H112" i="6"/>
  <c r="L111" i="6"/>
  <c r="J111" i="6"/>
  <c r="H111" i="6"/>
  <c r="L110" i="6"/>
  <c r="J110" i="6"/>
  <c r="H110" i="6"/>
  <c r="L109" i="6"/>
  <c r="J109" i="6"/>
  <c r="H109" i="6"/>
  <c r="I108" i="6"/>
  <c r="J108" i="6"/>
  <c r="K108" i="6"/>
  <c r="L108" i="6"/>
  <c r="M108" i="6"/>
  <c r="M86" i="1" s="1"/>
  <c r="H108" i="6"/>
  <c r="G62" i="6"/>
  <c r="M60" i="6"/>
  <c r="M66" i="1" s="1"/>
  <c r="K60" i="6"/>
  <c r="N60" i="6"/>
  <c r="N66" i="1" s="1"/>
  <c r="K66" i="1" l="1"/>
  <c r="K67" i="1"/>
  <c r="S34" i="14"/>
  <c r="S17" i="1" s="1"/>
  <c r="R35" i="14"/>
  <c r="R18" i="1" s="1"/>
  <c r="R36" i="14"/>
  <c r="R19" i="1" s="1"/>
  <c r="K84" i="1"/>
  <c r="K113" i="1"/>
  <c r="G108" i="1"/>
  <c r="G42" i="1"/>
  <c r="I86" i="1"/>
  <c r="N114" i="1"/>
  <c r="G179" i="6"/>
  <c r="I93" i="1"/>
  <c r="M112" i="1"/>
  <c r="L94" i="1"/>
  <c r="M97" i="1"/>
  <c r="J87" i="1"/>
  <c r="H93" i="1"/>
  <c r="L98" i="1"/>
  <c r="J114" i="1"/>
  <c r="H94" i="1"/>
  <c r="H113" i="1"/>
  <c r="I96" i="1"/>
  <c r="H86" i="1"/>
  <c r="J95" i="1"/>
  <c r="L113" i="1"/>
  <c r="H112" i="1"/>
  <c r="H88" i="1"/>
  <c r="K65" i="1"/>
  <c r="I85" i="1"/>
  <c r="K94" i="1"/>
  <c r="M114" i="1"/>
  <c r="J43" i="1"/>
  <c r="J112" i="1"/>
  <c r="K115" i="1"/>
  <c r="M67" i="1"/>
  <c r="J94" i="1"/>
  <c r="L84" i="1"/>
  <c r="H96" i="1"/>
  <c r="K87" i="1"/>
  <c r="M95" i="1"/>
  <c r="J96" i="1"/>
  <c r="I113" i="1"/>
  <c r="K93" i="1"/>
  <c r="L115" i="1"/>
  <c r="K112" i="1"/>
  <c r="M84" i="1"/>
  <c r="J113" i="1"/>
  <c r="J115" i="1"/>
  <c r="H95" i="1"/>
  <c r="M87" i="1"/>
  <c r="J98" i="1"/>
  <c r="I92" i="1"/>
  <c r="J92" i="1"/>
  <c r="J99" i="1"/>
  <c r="L86" i="1"/>
  <c r="I115" i="1"/>
  <c r="L85" i="1"/>
  <c r="H115" i="1"/>
  <c r="H114" i="1"/>
  <c r="G114" i="1" s="1"/>
  <c r="J89" i="1"/>
  <c r="J90" i="1"/>
  <c r="L89" i="1"/>
  <c r="L90" i="1"/>
  <c r="L87" i="1"/>
  <c r="L97" i="1"/>
  <c r="N112" i="1"/>
  <c r="I112" i="1"/>
  <c r="L96" i="1"/>
  <c r="I84" i="1"/>
  <c r="M98" i="1"/>
  <c r="L92" i="1"/>
  <c r="H98" i="1"/>
  <c r="J88" i="1"/>
  <c r="M93" i="1"/>
  <c r="I87" i="1"/>
  <c r="I114" i="1"/>
  <c r="M85" i="1"/>
  <c r="K114" i="1"/>
  <c r="L114" i="1"/>
  <c r="J45" i="1"/>
  <c r="M94" i="1"/>
  <c r="M115" i="1"/>
  <c r="I95" i="1"/>
  <c r="H85" i="1"/>
  <c r="J97" i="1"/>
  <c r="J85" i="1"/>
  <c r="K85" i="1"/>
  <c r="L112" i="1"/>
  <c r="H84" i="1"/>
  <c r="I97" i="1"/>
  <c r="L43" i="1"/>
  <c r="I94" i="1"/>
  <c r="N113" i="1"/>
  <c r="N45" i="1"/>
  <c r="J93" i="1"/>
  <c r="K95" i="1"/>
  <c r="H87" i="1"/>
  <c r="H99" i="1"/>
  <c r="K43" i="1"/>
  <c r="M92" i="1"/>
  <c r="H92" i="1"/>
  <c r="I99" i="1"/>
  <c r="J86" i="1"/>
  <c r="N115" i="1"/>
  <c r="H97" i="1"/>
  <c r="K97" i="1"/>
  <c r="K86" i="1"/>
  <c r="M65" i="1"/>
  <c r="N67" i="1"/>
  <c r="M96" i="1"/>
  <c r="J84" i="1"/>
  <c r="K92" i="1"/>
  <c r="L88" i="1"/>
  <c r="M113" i="1"/>
  <c r="J41" i="1"/>
  <c r="L41" i="1"/>
  <c r="K41" i="1"/>
  <c r="L46" i="1"/>
  <c r="L47" i="1"/>
  <c r="N65" i="1"/>
  <c r="L44" i="1"/>
  <c r="L99" i="1"/>
  <c r="J91" i="1"/>
  <c r="L95" i="1"/>
  <c r="L45" i="1"/>
  <c r="J47" i="1"/>
  <c r="J46" i="1"/>
  <c r="H90" i="1"/>
  <c r="H89" i="1"/>
  <c r="N47" i="1"/>
  <c r="N46" i="1"/>
  <c r="K96" i="1"/>
  <c r="K99" i="1"/>
  <c r="L93" i="1"/>
  <c r="G68" i="1"/>
  <c r="G48" i="1"/>
  <c r="G80" i="1"/>
  <c r="G72" i="1"/>
  <c r="G52" i="1"/>
  <c r="G104" i="1"/>
  <c r="G76" i="1"/>
  <c r="G101" i="1"/>
  <c r="G110" i="1"/>
  <c r="P40" i="1"/>
  <c r="G123" i="6"/>
  <c r="G145" i="6"/>
  <c r="G111" i="6"/>
  <c r="G116" i="6"/>
  <c r="G143" i="6"/>
  <c r="G110" i="6"/>
  <c r="G113" i="6"/>
  <c r="G141" i="6"/>
  <c r="G114" i="6"/>
  <c r="G109" i="6"/>
  <c r="G115" i="6"/>
  <c r="G131" i="6"/>
  <c r="G112" i="6"/>
  <c r="G180" i="6"/>
  <c r="G108" i="6"/>
  <c r="G117" i="6"/>
  <c r="G129" i="6"/>
  <c r="G144" i="6"/>
  <c r="G60" i="6"/>
  <c r="N40" i="1"/>
  <c r="G12" i="6"/>
  <c r="F40" i="1"/>
  <c r="F135" i="1" s="1"/>
  <c r="O40" i="1"/>
  <c r="M40" i="1"/>
  <c r="L40" i="1"/>
  <c r="S40" i="1"/>
  <c r="K40" i="1"/>
  <c r="R40" i="1"/>
  <c r="J40" i="1"/>
  <c r="Q40" i="1"/>
  <c r="I40" i="1"/>
  <c r="G27" i="6"/>
  <c r="S36" i="14" l="1"/>
  <c r="S19" i="1" s="1"/>
  <c r="S35" i="14"/>
  <c r="S18" i="1" s="1"/>
  <c r="G95" i="1"/>
  <c r="G86" i="1"/>
  <c r="G112" i="1"/>
  <c r="G92" i="1"/>
  <c r="G84" i="1"/>
  <c r="G40" i="1"/>
  <c r="G44" i="1"/>
  <c r="G88" i="1"/>
  <c r="G96" i="1"/>
  <c r="G94" i="1"/>
  <c r="G113" i="1"/>
  <c r="G85" i="1"/>
  <c r="G67" i="1"/>
  <c r="G41" i="1"/>
  <c r="I64" i="1"/>
  <c r="Q64" i="1"/>
  <c r="K64" i="1"/>
  <c r="O64" i="1"/>
  <c r="R64" i="1"/>
  <c r="L64" i="1"/>
  <c r="N64" i="1"/>
  <c r="P64" i="1"/>
  <c r="S64" i="1"/>
  <c r="G64" i="1" s="1"/>
  <c r="M64" i="1"/>
  <c r="H64" i="1"/>
  <c r="J64" i="1"/>
  <c r="I56" i="1"/>
  <c r="H56" i="1"/>
  <c r="L56" i="1"/>
  <c r="J56" i="1"/>
  <c r="R56" i="1"/>
  <c r="O56" i="1"/>
  <c r="K56" i="1"/>
  <c r="S56" i="1"/>
  <c r="N56" i="1"/>
  <c r="Q56" i="1"/>
  <c r="P56" i="1"/>
  <c r="M56" i="1"/>
  <c r="H60" i="1"/>
  <c r="L60" i="1"/>
  <c r="P60" i="1"/>
  <c r="I60" i="1"/>
  <c r="Q60" i="1"/>
  <c r="R60" i="1"/>
  <c r="S60" i="1"/>
  <c r="N60" i="1"/>
  <c r="J60" i="1"/>
  <c r="O60" i="1"/>
  <c r="K60" i="1"/>
  <c r="M60" i="1"/>
  <c r="F60" i="1"/>
  <c r="F56" i="1"/>
  <c r="F64" i="1"/>
  <c r="G60" i="1" l="1"/>
  <c r="G56" i="1"/>
  <c r="F151" i="1" l="1"/>
  <c r="F155" i="1"/>
  <c r="F159" i="1"/>
  <c r="F139" i="1" l="1"/>
  <c r="F143" i="1"/>
  <c r="F147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11" i="1" l="1"/>
  <c r="F12" i="1" l="1"/>
  <c r="H3" i="1" l="1"/>
  <c r="H3" i="19" s="1"/>
  <c r="H4" i="1" l="1"/>
  <c r="H4" i="19" s="1"/>
  <c r="H2" i="1" l="1"/>
  <c r="H2" i="19" s="1"/>
  <c r="B14" i="1" l="1"/>
  <c r="H5" i="1"/>
  <c r="H1" i="1"/>
  <c r="H1" i="19" s="1"/>
  <c r="I3" i="1"/>
  <c r="I3" i="19" s="1"/>
  <c r="H6" i="1" l="1"/>
  <c r="H6" i="19" s="1"/>
  <c r="H5" i="19"/>
  <c r="B37" i="1"/>
  <c r="B132" i="1" s="1"/>
  <c r="H7" i="1"/>
  <c r="I4" i="1"/>
  <c r="I5" i="1" s="1"/>
  <c r="J3" i="1"/>
  <c r="J3" i="19" s="1"/>
  <c r="H21" i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I2" i="1" l="1"/>
  <c r="I2" i="19" s="1"/>
  <c r="I4" i="19"/>
  <c r="B249" i="1"/>
  <c r="J29" i="1"/>
  <c r="K29" i="1" s="1"/>
  <c r="L29" i="1" s="1"/>
  <c r="M29" i="1" s="1"/>
  <c r="N29" i="1" s="1"/>
  <c r="O29" i="1" s="1"/>
  <c r="P29" i="1" s="1"/>
  <c r="Q29" i="1" s="1"/>
  <c r="R29" i="1" s="1"/>
  <c r="S29" i="1" s="1"/>
  <c r="H31" i="1"/>
  <c r="H33" i="1"/>
  <c r="I1" i="1"/>
  <c r="I1" i="19" s="1"/>
  <c r="K3" i="1"/>
  <c r="K3" i="19" s="1"/>
  <c r="I31" i="1" l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H136" i="1"/>
  <c r="I6" i="1"/>
  <c r="I6" i="19" s="1"/>
  <c r="I5" i="19"/>
  <c r="H221" i="1"/>
  <c r="I33" i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I213" i="1"/>
  <c r="H225" i="1"/>
  <c r="H223" i="1"/>
  <c r="H222" i="1"/>
  <c r="H224" i="1"/>
  <c r="H218" i="1"/>
  <c r="H217" i="1"/>
  <c r="H214" i="1"/>
  <c r="H202" i="1"/>
  <c r="H138" i="1"/>
  <c r="H198" i="1"/>
  <c r="H186" i="1"/>
  <c r="H178" i="1"/>
  <c r="H206" i="1"/>
  <c r="H170" i="1"/>
  <c r="H166" i="1"/>
  <c r="H154" i="1"/>
  <c r="H150" i="1"/>
  <c r="H158" i="1"/>
  <c r="H142" i="1"/>
  <c r="H174" i="1"/>
  <c r="H146" i="1"/>
  <c r="H162" i="1"/>
  <c r="H194" i="1"/>
  <c r="H210" i="1"/>
  <c r="H182" i="1"/>
  <c r="H190" i="1"/>
  <c r="H149" i="1"/>
  <c r="H205" i="1"/>
  <c r="H153" i="1"/>
  <c r="H169" i="1"/>
  <c r="H197" i="1"/>
  <c r="H161" i="1"/>
  <c r="H141" i="1"/>
  <c r="H173" i="1"/>
  <c r="H177" i="1"/>
  <c r="H145" i="1"/>
  <c r="H165" i="1"/>
  <c r="H201" i="1"/>
  <c r="H137" i="1"/>
  <c r="H157" i="1"/>
  <c r="H185" i="1"/>
  <c r="H181" i="1"/>
  <c r="H209" i="1"/>
  <c r="H193" i="1"/>
  <c r="H189" i="1"/>
  <c r="H156" i="1"/>
  <c r="H160" i="1"/>
  <c r="H148" i="1"/>
  <c r="H140" i="1"/>
  <c r="H144" i="1"/>
  <c r="H152" i="1"/>
  <c r="H200" i="1"/>
  <c r="H172" i="1"/>
  <c r="H168" i="1"/>
  <c r="H204" i="1"/>
  <c r="H164" i="1"/>
  <c r="H176" i="1"/>
  <c r="H196" i="1"/>
  <c r="H192" i="1"/>
  <c r="H180" i="1"/>
  <c r="H208" i="1"/>
  <c r="H184" i="1"/>
  <c r="H188" i="1"/>
  <c r="H171" i="1"/>
  <c r="H143" i="1"/>
  <c r="H203" i="1"/>
  <c r="H139" i="1"/>
  <c r="H199" i="1"/>
  <c r="H195" i="1"/>
  <c r="H175" i="1"/>
  <c r="H163" i="1"/>
  <c r="H167" i="1"/>
  <c r="H147" i="1"/>
  <c r="H179" i="1"/>
  <c r="H207" i="1"/>
  <c r="H183" i="1"/>
  <c r="H187" i="1"/>
  <c r="H191" i="1"/>
  <c r="H155" i="1"/>
  <c r="H151" i="1"/>
  <c r="H159" i="1"/>
  <c r="I7" i="1"/>
  <c r="J4" i="1"/>
  <c r="J4" i="19" s="1"/>
  <c r="L3" i="1"/>
  <c r="L3" i="19" s="1"/>
  <c r="H252" i="1" l="1"/>
  <c r="H237" i="1"/>
  <c r="H241" i="1"/>
  <c r="H233" i="1"/>
  <c r="H239" i="1"/>
  <c r="H231" i="1"/>
  <c r="H229" i="1"/>
  <c r="H244" i="1"/>
  <c r="H243" i="1"/>
  <c r="H235" i="1"/>
  <c r="H227" i="1"/>
  <c r="H265" i="1"/>
  <c r="H255" i="1"/>
  <c r="H12" i="19" s="1"/>
  <c r="H267" i="1"/>
  <c r="H263" i="1"/>
  <c r="H266" i="1"/>
  <c r="H270" i="1"/>
  <c r="H269" i="1"/>
  <c r="H254" i="1"/>
  <c r="H11" i="19" s="1"/>
  <c r="H256" i="1"/>
  <c r="H13" i="19" s="1"/>
  <c r="H261" i="1"/>
  <c r="H259" i="1"/>
  <c r="H16" i="19" s="1"/>
  <c r="H264" i="1"/>
  <c r="H268" i="1"/>
  <c r="H253" i="1"/>
  <c r="H10" i="19" s="1"/>
  <c r="H258" i="1"/>
  <c r="H15" i="19" s="1"/>
  <c r="H260" i="1"/>
  <c r="H257" i="1"/>
  <c r="H14" i="19" s="1"/>
  <c r="H262" i="1"/>
  <c r="I222" i="1"/>
  <c r="I223" i="1"/>
  <c r="I224" i="1"/>
  <c r="I225" i="1"/>
  <c r="I221" i="1"/>
  <c r="I214" i="1"/>
  <c r="I218" i="1"/>
  <c r="I217" i="1"/>
  <c r="I201" i="1"/>
  <c r="I173" i="1"/>
  <c r="I177" i="1"/>
  <c r="I169" i="1"/>
  <c r="I149" i="1"/>
  <c r="I157" i="1"/>
  <c r="I141" i="1"/>
  <c r="I193" i="1"/>
  <c r="I197" i="1"/>
  <c r="I161" i="1"/>
  <c r="I137" i="1"/>
  <c r="I205" i="1"/>
  <c r="I165" i="1"/>
  <c r="I153" i="1"/>
  <c r="I145" i="1"/>
  <c r="I185" i="1"/>
  <c r="I189" i="1"/>
  <c r="I181" i="1"/>
  <c r="I209" i="1"/>
  <c r="I136" i="1"/>
  <c r="I200" i="1"/>
  <c r="I144" i="1"/>
  <c r="I148" i="1"/>
  <c r="I156" i="1"/>
  <c r="I160" i="1"/>
  <c r="I176" i="1"/>
  <c r="I140" i="1"/>
  <c r="I164" i="1"/>
  <c r="I204" i="1"/>
  <c r="I184" i="1"/>
  <c r="I172" i="1"/>
  <c r="I152" i="1"/>
  <c r="I196" i="1"/>
  <c r="I168" i="1"/>
  <c r="I208" i="1"/>
  <c r="I192" i="1"/>
  <c r="I180" i="1"/>
  <c r="I188" i="1"/>
  <c r="I206" i="1"/>
  <c r="I146" i="1"/>
  <c r="I158" i="1"/>
  <c r="I166" i="1"/>
  <c r="I138" i="1"/>
  <c r="I178" i="1"/>
  <c r="I150" i="1"/>
  <c r="I186" i="1"/>
  <c r="I202" i="1"/>
  <c r="I170" i="1"/>
  <c r="I154" i="1"/>
  <c r="I142" i="1"/>
  <c r="I174" i="1"/>
  <c r="I162" i="1"/>
  <c r="I198" i="1"/>
  <c r="I210" i="1"/>
  <c r="I190" i="1"/>
  <c r="I194" i="1"/>
  <c r="I182" i="1"/>
  <c r="I167" i="1"/>
  <c r="I175" i="1"/>
  <c r="I171" i="1"/>
  <c r="I143" i="1"/>
  <c r="I147" i="1"/>
  <c r="I199" i="1"/>
  <c r="I195" i="1"/>
  <c r="I203" i="1"/>
  <c r="I163" i="1"/>
  <c r="I183" i="1"/>
  <c r="I139" i="1"/>
  <c r="I135" i="1"/>
  <c r="I191" i="1"/>
  <c r="I187" i="1"/>
  <c r="I179" i="1"/>
  <c r="I207" i="1"/>
  <c r="I155" i="1"/>
  <c r="I151" i="1"/>
  <c r="I159" i="1"/>
  <c r="J2" i="1"/>
  <c r="J2" i="19" s="1"/>
  <c r="J5" i="1"/>
  <c r="J1" i="1"/>
  <c r="J1" i="19" s="1"/>
  <c r="M3" i="1"/>
  <c r="M3" i="19" s="1"/>
  <c r="I235" i="1" l="1"/>
  <c r="I241" i="1"/>
  <c r="H17" i="19"/>
  <c r="H23" i="19"/>
  <c r="H21" i="19"/>
  <c r="H20" i="19"/>
  <c r="H24" i="19"/>
  <c r="H25" i="19"/>
  <c r="H19" i="19"/>
  <c r="H18" i="19"/>
  <c r="H22" i="19"/>
  <c r="H26" i="19"/>
  <c r="H27" i="19"/>
  <c r="H9" i="19"/>
  <c r="J6" i="1"/>
  <c r="J6" i="19" s="1"/>
  <c r="J5" i="19"/>
  <c r="H271" i="1"/>
  <c r="I239" i="1"/>
  <c r="I237" i="1"/>
  <c r="H245" i="1"/>
  <c r="H247" i="1"/>
  <c r="I258" i="1"/>
  <c r="I15" i="19" s="1"/>
  <c r="I262" i="1"/>
  <c r="I19" i="19" s="1"/>
  <c r="I259" i="1"/>
  <c r="I16" i="19" s="1"/>
  <c r="I263" i="1"/>
  <c r="I20" i="19" s="1"/>
  <c r="I267" i="1"/>
  <c r="I24" i="19" s="1"/>
  <c r="I266" i="1"/>
  <c r="I23" i="19" s="1"/>
  <c r="I255" i="1"/>
  <c r="I12" i="19" s="1"/>
  <c r="I252" i="1"/>
  <c r="I9" i="19" s="1"/>
  <c r="I254" i="1"/>
  <c r="I11" i="19" s="1"/>
  <c r="I253" i="1"/>
  <c r="I10" i="19" s="1"/>
  <c r="I261" i="1"/>
  <c r="I18" i="19" s="1"/>
  <c r="I268" i="1"/>
  <c r="I25" i="19" s="1"/>
  <c r="I264" i="1"/>
  <c r="I21" i="19" s="1"/>
  <c r="I257" i="1"/>
  <c r="I14" i="19" s="1"/>
  <c r="I260" i="1"/>
  <c r="I17" i="19" s="1"/>
  <c r="I265" i="1"/>
  <c r="I22" i="19" s="1"/>
  <c r="I256" i="1"/>
  <c r="I13" i="19" s="1"/>
  <c r="I270" i="1"/>
  <c r="I27" i="19" s="1"/>
  <c r="I269" i="1"/>
  <c r="I26" i="19" s="1"/>
  <c r="I244" i="1"/>
  <c r="I243" i="1"/>
  <c r="I227" i="1"/>
  <c r="I229" i="1"/>
  <c r="I233" i="1"/>
  <c r="I231" i="1"/>
  <c r="J7" i="1"/>
  <c r="K4" i="1"/>
  <c r="K4" i="19" s="1"/>
  <c r="N3" i="1"/>
  <c r="N3" i="19" s="1"/>
  <c r="H272" i="1" l="1"/>
  <c r="H251" i="1"/>
  <c r="H28" i="19"/>
  <c r="H273" i="1"/>
  <c r="H30" i="19" s="1"/>
  <c r="I271" i="1"/>
  <c r="J213" i="1"/>
  <c r="I247" i="1"/>
  <c r="J223" i="1"/>
  <c r="J224" i="1"/>
  <c r="J225" i="1"/>
  <c r="J222" i="1"/>
  <c r="J221" i="1"/>
  <c r="J165" i="1"/>
  <c r="J157" i="1"/>
  <c r="J197" i="1"/>
  <c r="J137" i="1"/>
  <c r="J161" i="1"/>
  <c r="J201" i="1"/>
  <c r="J153" i="1"/>
  <c r="J177" i="1"/>
  <c r="J169" i="1"/>
  <c r="J173" i="1"/>
  <c r="J149" i="1"/>
  <c r="J145" i="1"/>
  <c r="J205" i="1"/>
  <c r="J209" i="1"/>
  <c r="J141" i="1"/>
  <c r="J193" i="1"/>
  <c r="J181" i="1"/>
  <c r="J185" i="1"/>
  <c r="J189" i="1"/>
  <c r="J156" i="1"/>
  <c r="J176" i="1"/>
  <c r="J172" i="1"/>
  <c r="J144" i="1"/>
  <c r="J196" i="1"/>
  <c r="J148" i="1"/>
  <c r="J164" i="1"/>
  <c r="J200" i="1"/>
  <c r="J160" i="1"/>
  <c r="J168" i="1"/>
  <c r="J152" i="1"/>
  <c r="J204" i="1"/>
  <c r="J180" i="1"/>
  <c r="J192" i="1"/>
  <c r="J136" i="1"/>
  <c r="J188" i="1"/>
  <c r="J208" i="1"/>
  <c r="J140" i="1"/>
  <c r="J184" i="1"/>
  <c r="J178" i="1"/>
  <c r="J166" i="1"/>
  <c r="J150" i="1"/>
  <c r="J146" i="1"/>
  <c r="J202" i="1"/>
  <c r="J206" i="1"/>
  <c r="J174" i="1"/>
  <c r="J198" i="1"/>
  <c r="J158" i="1"/>
  <c r="J162" i="1"/>
  <c r="J154" i="1"/>
  <c r="J170" i="1"/>
  <c r="J186" i="1"/>
  <c r="J210" i="1"/>
  <c r="J142" i="1"/>
  <c r="J138" i="1"/>
  <c r="J194" i="1"/>
  <c r="J190" i="1"/>
  <c r="J182" i="1"/>
  <c r="K5" i="1"/>
  <c r="K2" i="1"/>
  <c r="K2" i="19" s="1"/>
  <c r="K1" i="1"/>
  <c r="K1" i="19" s="1"/>
  <c r="O3" i="1"/>
  <c r="O3" i="19" s="1"/>
  <c r="I273" i="1" l="1"/>
  <c r="I30" i="19" s="1"/>
  <c r="I28" i="19"/>
  <c r="L4" i="1"/>
  <c r="L4" i="19" s="1"/>
  <c r="K5" i="19"/>
  <c r="I251" i="1"/>
  <c r="I272" i="1"/>
  <c r="J241" i="1"/>
  <c r="J239" i="1"/>
  <c r="J237" i="1"/>
  <c r="J195" i="1"/>
  <c r="J267" i="1" s="1"/>
  <c r="J191" i="1"/>
  <c r="J266" i="1" s="1"/>
  <c r="J179" i="1"/>
  <c r="J263" i="1" s="1"/>
  <c r="J135" i="1"/>
  <c r="J175" i="1"/>
  <c r="J262" i="1" s="1"/>
  <c r="J159" i="1"/>
  <c r="J258" i="1" s="1"/>
  <c r="J15" i="19" s="1"/>
  <c r="J187" i="1"/>
  <c r="J265" i="1" s="1"/>
  <c r="J143" i="1"/>
  <c r="J155" i="1"/>
  <c r="J257" i="1" s="1"/>
  <c r="J14" i="19" s="1"/>
  <c r="J163" i="1"/>
  <c r="J259" i="1" s="1"/>
  <c r="J16" i="19" s="1"/>
  <c r="J167" i="1"/>
  <c r="J260" i="1" s="1"/>
  <c r="J151" i="1"/>
  <c r="J256" i="1" s="1"/>
  <c r="J13" i="19" s="1"/>
  <c r="J203" i="1"/>
  <c r="J269" i="1" s="1"/>
  <c r="J171" i="1"/>
  <c r="J261" i="1" s="1"/>
  <c r="J183" i="1"/>
  <c r="J264" i="1" s="1"/>
  <c r="J147" i="1"/>
  <c r="J255" i="1" s="1"/>
  <c r="J12" i="19" s="1"/>
  <c r="J214" i="1"/>
  <c r="J199" i="1"/>
  <c r="J268" i="1" s="1"/>
  <c r="J218" i="1"/>
  <c r="J207" i="1"/>
  <c r="J270" i="1" s="1"/>
  <c r="J139" i="1"/>
  <c r="J253" i="1" s="1"/>
  <c r="J10" i="19" s="1"/>
  <c r="J217" i="1"/>
  <c r="J233" i="1"/>
  <c r="J231" i="1"/>
  <c r="J229" i="1"/>
  <c r="K7" i="1"/>
  <c r="P3" i="1"/>
  <c r="P3" i="19" s="1"/>
  <c r="K6" i="1"/>
  <c r="K6" i="19" s="1"/>
  <c r="L2" i="1" l="1"/>
  <c r="L2" i="19" s="1"/>
  <c r="L5" i="1"/>
  <c r="M4" i="1" s="1"/>
  <c r="M4" i="19" s="1"/>
  <c r="J18" i="19"/>
  <c r="J22" i="19"/>
  <c r="J26" i="19"/>
  <c r="J19" i="19"/>
  <c r="J21" i="19"/>
  <c r="J27" i="19"/>
  <c r="J17" i="19"/>
  <c r="J20" i="19"/>
  <c r="J23" i="19"/>
  <c r="J25" i="19"/>
  <c r="J24" i="19"/>
  <c r="L1" i="1"/>
  <c r="L1" i="19" s="1"/>
  <c r="J252" i="1"/>
  <c r="J244" i="1"/>
  <c r="J254" i="1"/>
  <c r="J11" i="19" s="1"/>
  <c r="J227" i="1"/>
  <c r="J243" i="1"/>
  <c r="J235" i="1"/>
  <c r="Q3" i="1"/>
  <c r="Q3" i="19" s="1"/>
  <c r="L6" i="1" l="1"/>
  <c r="L6" i="19" s="1"/>
  <c r="L5" i="19"/>
  <c r="J9" i="19"/>
  <c r="L7" i="1"/>
  <c r="M1" i="1"/>
  <c r="M1" i="19" s="1"/>
  <c r="M2" i="1"/>
  <c r="M2" i="19" s="1"/>
  <c r="M5" i="1"/>
  <c r="M6" i="1" s="1"/>
  <c r="M6" i="19" s="1"/>
  <c r="J271" i="1"/>
  <c r="J247" i="1"/>
  <c r="K222" i="1"/>
  <c r="K223" i="1"/>
  <c r="K224" i="1"/>
  <c r="K225" i="1"/>
  <c r="K141" i="1"/>
  <c r="K193" i="1"/>
  <c r="K157" i="1"/>
  <c r="K149" i="1"/>
  <c r="K205" i="1"/>
  <c r="K173" i="1"/>
  <c r="K169" i="1"/>
  <c r="K201" i="1"/>
  <c r="K177" i="1"/>
  <c r="K161" i="1"/>
  <c r="K137" i="1"/>
  <c r="K185" i="1"/>
  <c r="K145" i="1"/>
  <c r="K153" i="1"/>
  <c r="K197" i="1"/>
  <c r="K165" i="1"/>
  <c r="K209" i="1"/>
  <c r="K181" i="1"/>
  <c r="K189" i="1"/>
  <c r="K200" i="1"/>
  <c r="K152" i="1"/>
  <c r="K156" i="1"/>
  <c r="K164" i="1"/>
  <c r="K148" i="1"/>
  <c r="K172" i="1"/>
  <c r="K196" i="1"/>
  <c r="K144" i="1"/>
  <c r="K140" i="1"/>
  <c r="K184" i="1"/>
  <c r="K176" i="1"/>
  <c r="K204" i="1"/>
  <c r="K168" i="1"/>
  <c r="K192" i="1"/>
  <c r="K208" i="1"/>
  <c r="K136" i="1"/>
  <c r="K160" i="1"/>
  <c r="K180" i="1"/>
  <c r="K188" i="1"/>
  <c r="K174" i="1"/>
  <c r="K202" i="1"/>
  <c r="K146" i="1"/>
  <c r="K166" i="1"/>
  <c r="K170" i="1"/>
  <c r="K186" i="1"/>
  <c r="K206" i="1"/>
  <c r="K178" i="1"/>
  <c r="K158" i="1"/>
  <c r="K150" i="1"/>
  <c r="K198" i="1"/>
  <c r="K154" i="1"/>
  <c r="K142" i="1"/>
  <c r="K210" i="1"/>
  <c r="K194" i="1"/>
  <c r="K138" i="1"/>
  <c r="K190" i="1"/>
  <c r="K162" i="1"/>
  <c r="K182" i="1"/>
  <c r="R3" i="1"/>
  <c r="R3" i="19" s="1"/>
  <c r="J251" i="1" l="1"/>
  <c r="J28" i="19"/>
  <c r="M5" i="19"/>
  <c r="N4" i="1"/>
  <c r="M7" i="1"/>
  <c r="J273" i="1"/>
  <c r="J30" i="19" s="1"/>
  <c r="J272" i="1"/>
  <c r="K241" i="1"/>
  <c r="K237" i="1"/>
  <c r="K229" i="1"/>
  <c r="K233" i="1"/>
  <c r="K213" i="1"/>
  <c r="K214" i="1"/>
  <c r="K217" i="1"/>
  <c r="K218" i="1"/>
  <c r="K221" i="1"/>
  <c r="K231" i="1" s="1"/>
  <c r="L225" i="1"/>
  <c r="L223" i="1"/>
  <c r="L224" i="1"/>
  <c r="L222" i="1"/>
  <c r="K143" i="1"/>
  <c r="K254" i="1" s="1"/>
  <c r="K11" i="19" s="1"/>
  <c r="K199" i="1"/>
  <c r="K268" i="1" s="1"/>
  <c r="K139" i="1"/>
  <c r="K253" i="1" s="1"/>
  <c r="K10" i="19" s="1"/>
  <c r="K163" i="1"/>
  <c r="K259" i="1" s="1"/>
  <c r="K16" i="19" s="1"/>
  <c r="K171" i="1"/>
  <c r="K261" i="1" s="1"/>
  <c r="K183" i="1"/>
  <c r="K264" i="1" s="1"/>
  <c r="K147" i="1"/>
  <c r="K255" i="1" s="1"/>
  <c r="K12" i="19" s="1"/>
  <c r="K175" i="1"/>
  <c r="K262" i="1" s="1"/>
  <c r="K203" i="1"/>
  <c r="K269" i="1" s="1"/>
  <c r="K195" i="1"/>
  <c r="K267" i="1" s="1"/>
  <c r="K167" i="1"/>
  <c r="K260" i="1" s="1"/>
  <c r="K207" i="1"/>
  <c r="K270" i="1" s="1"/>
  <c r="K187" i="1"/>
  <c r="K265" i="1" s="1"/>
  <c r="K151" i="1"/>
  <c r="K256" i="1" s="1"/>
  <c r="K13" i="19" s="1"/>
  <c r="K135" i="1"/>
  <c r="K252" i="1" s="1"/>
  <c r="K191" i="1"/>
  <c r="K266" i="1" s="1"/>
  <c r="K179" i="1"/>
  <c r="K263" i="1" s="1"/>
  <c r="K159" i="1"/>
  <c r="K258" i="1" s="1"/>
  <c r="K15" i="19" s="1"/>
  <c r="K155" i="1"/>
  <c r="K257" i="1" s="1"/>
  <c r="K14" i="19" s="1"/>
  <c r="L201" i="1"/>
  <c r="L161" i="1"/>
  <c r="L149" i="1"/>
  <c r="L157" i="1"/>
  <c r="L169" i="1"/>
  <c r="L197" i="1"/>
  <c r="L205" i="1"/>
  <c r="L153" i="1"/>
  <c r="L177" i="1"/>
  <c r="L173" i="1"/>
  <c r="L137" i="1"/>
  <c r="L165" i="1"/>
  <c r="L145" i="1"/>
  <c r="L185" i="1"/>
  <c r="L181" i="1"/>
  <c r="L189" i="1"/>
  <c r="L193" i="1"/>
  <c r="L141" i="1"/>
  <c r="L209" i="1"/>
  <c r="L162" i="1"/>
  <c r="L206" i="1"/>
  <c r="L170" i="1"/>
  <c r="L150" i="1"/>
  <c r="L146" i="1"/>
  <c r="L166" i="1"/>
  <c r="L174" i="1"/>
  <c r="L154" i="1"/>
  <c r="L178" i="1"/>
  <c r="L158" i="1"/>
  <c r="L186" i="1"/>
  <c r="L198" i="1"/>
  <c r="L202" i="1"/>
  <c r="L182" i="1"/>
  <c r="L142" i="1"/>
  <c r="L210" i="1"/>
  <c r="L138" i="1"/>
  <c r="L194" i="1"/>
  <c r="L190" i="1"/>
  <c r="L144" i="1"/>
  <c r="L172" i="1"/>
  <c r="L176" i="1"/>
  <c r="L204" i="1"/>
  <c r="L160" i="1"/>
  <c r="L156" i="1"/>
  <c r="L164" i="1"/>
  <c r="L148" i="1"/>
  <c r="L196" i="1"/>
  <c r="L152" i="1"/>
  <c r="L168" i="1"/>
  <c r="L200" i="1"/>
  <c r="L188" i="1"/>
  <c r="L184" i="1"/>
  <c r="L140" i="1"/>
  <c r="L180" i="1"/>
  <c r="L208" i="1"/>
  <c r="L192" i="1"/>
  <c r="L136" i="1"/>
  <c r="S3" i="1"/>
  <c r="S3" i="19" s="1"/>
  <c r="K9" i="19" l="1"/>
  <c r="K24" i="19"/>
  <c r="K25" i="19"/>
  <c r="K19" i="19"/>
  <c r="K17" i="19"/>
  <c r="K20" i="19"/>
  <c r="K23" i="19"/>
  <c r="K21" i="19"/>
  <c r="K26" i="19"/>
  <c r="K22" i="19"/>
  <c r="K18" i="19"/>
  <c r="K27" i="19"/>
  <c r="N4" i="19"/>
  <c r="N1" i="1"/>
  <c r="N1" i="19" s="1"/>
  <c r="N2" i="1"/>
  <c r="N5" i="1"/>
  <c r="K271" i="1"/>
  <c r="L241" i="1"/>
  <c r="K239" i="1"/>
  <c r="L237" i="1"/>
  <c r="K235" i="1"/>
  <c r="L229" i="1"/>
  <c r="L233" i="1"/>
  <c r="K244" i="1"/>
  <c r="K243" i="1"/>
  <c r="K227" i="1"/>
  <c r="L214" i="1"/>
  <c r="L217" i="1"/>
  <c r="L218" i="1"/>
  <c r="L213" i="1"/>
  <c r="L221" i="1"/>
  <c r="L231" i="1" s="1"/>
  <c r="M224" i="1"/>
  <c r="M225" i="1"/>
  <c r="M223" i="1"/>
  <c r="M222" i="1"/>
  <c r="M148" i="1"/>
  <c r="M176" i="1"/>
  <c r="M140" i="1"/>
  <c r="M196" i="1"/>
  <c r="M164" i="1"/>
  <c r="M156" i="1"/>
  <c r="M200" i="1"/>
  <c r="M136" i="1"/>
  <c r="M144" i="1"/>
  <c r="M172" i="1"/>
  <c r="M204" i="1"/>
  <c r="M152" i="1"/>
  <c r="M184" i="1"/>
  <c r="M168" i="1"/>
  <c r="M160" i="1"/>
  <c r="M192" i="1"/>
  <c r="M180" i="1"/>
  <c r="M188" i="1"/>
  <c r="M208" i="1"/>
  <c r="M194" i="1"/>
  <c r="M202" i="1"/>
  <c r="M206" i="1"/>
  <c r="M186" i="1"/>
  <c r="M198" i="1"/>
  <c r="M150" i="1"/>
  <c r="M138" i="1"/>
  <c r="M174" i="1"/>
  <c r="M158" i="1"/>
  <c r="M166" i="1"/>
  <c r="M170" i="1"/>
  <c r="M178" i="1"/>
  <c r="M142" i="1"/>
  <c r="M154" i="1"/>
  <c r="M146" i="1"/>
  <c r="M182" i="1"/>
  <c r="M162" i="1"/>
  <c r="M190" i="1"/>
  <c r="M210" i="1"/>
  <c r="L203" i="1"/>
  <c r="L269" i="1" s="1"/>
  <c r="L26" i="19" s="1"/>
  <c r="L147" i="1"/>
  <c r="L255" i="1" s="1"/>
  <c r="L12" i="19" s="1"/>
  <c r="L175" i="1"/>
  <c r="L262" i="1" s="1"/>
  <c r="L19" i="19" s="1"/>
  <c r="L199" i="1"/>
  <c r="L268" i="1" s="1"/>
  <c r="L25" i="19" s="1"/>
  <c r="L143" i="1"/>
  <c r="L254" i="1" s="1"/>
  <c r="L11" i="19" s="1"/>
  <c r="L167" i="1"/>
  <c r="L260" i="1" s="1"/>
  <c r="L17" i="19" s="1"/>
  <c r="L163" i="1"/>
  <c r="L259" i="1" s="1"/>
  <c r="L16" i="19" s="1"/>
  <c r="L195" i="1"/>
  <c r="L267" i="1" s="1"/>
  <c r="L24" i="19" s="1"/>
  <c r="L171" i="1"/>
  <c r="L261" i="1" s="1"/>
  <c r="L18" i="19" s="1"/>
  <c r="L183" i="1"/>
  <c r="L264" i="1" s="1"/>
  <c r="L21" i="19" s="1"/>
  <c r="L179" i="1"/>
  <c r="L263" i="1" s="1"/>
  <c r="L20" i="19" s="1"/>
  <c r="L139" i="1"/>
  <c r="L253" i="1" s="1"/>
  <c r="L10" i="19" s="1"/>
  <c r="L187" i="1"/>
  <c r="L265" i="1" s="1"/>
  <c r="L22" i="19" s="1"/>
  <c r="L135" i="1"/>
  <c r="L252" i="1" s="1"/>
  <c r="L9" i="19" s="1"/>
  <c r="L207" i="1"/>
  <c r="L270" i="1" s="1"/>
  <c r="L27" i="19" s="1"/>
  <c r="L191" i="1"/>
  <c r="L266" i="1" s="1"/>
  <c r="L23" i="19" s="1"/>
  <c r="L159" i="1"/>
  <c r="L258" i="1" s="1"/>
  <c r="L15" i="19" s="1"/>
  <c r="L155" i="1"/>
  <c r="L257" i="1" s="1"/>
  <c r="L14" i="19" s="1"/>
  <c r="L151" i="1"/>
  <c r="L256" i="1" s="1"/>
  <c r="L13" i="19" s="1"/>
  <c r="M201" i="1"/>
  <c r="M205" i="1"/>
  <c r="M181" i="1"/>
  <c r="M165" i="1"/>
  <c r="M177" i="1"/>
  <c r="M185" i="1"/>
  <c r="M157" i="1"/>
  <c r="M173" i="1"/>
  <c r="M153" i="1"/>
  <c r="M197" i="1"/>
  <c r="M137" i="1"/>
  <c r="M161" i="1"/>
  <c r="M169" i="1"/>
  <c r="M141" i="1"/>
  <c r="M149" i="1"/>
  <c r="M145" i="1"/>
  <c r="M193" i="1"/>
  <c r="M189" i="1"/>
  <c r="M209" i="1"/>
  <c r="N6" i="1" l="1"/>
  <c r="N6" i="19" s="1"/>
  <c r="N5" i="19"/>
  <c r="O4" i="1"/>
  <c r="N2" i="19"/>
  <c r="N7" i="1"/>
  <c r="K251" i="1"/>
  <c r="K28" i="19"/>
  <c r="K273" i="1"/>
  <c r="K30" i="19" s="1"/>
  <c r="K272" i="1"/>
  <c r="L271" i="1"/>
  <c r="M241" i="1"/>
  <c r="M237" i="1"/>
  <c r="L239" i="1"/>
  <c r="L235" i="1"/>
  <c r="M233" i="1"/>
  <c r="M229" i="1"/>
  <c r="K247" i="1"/>
  <c r="L244" i="1"/>
  <c r="L243" i="1"/>
  <c r="L227" i="1"/>
  <c r="N223" i="1"/>
  <c r="N222" i="1"/>
  <c r="N225" i="1"/>
  <c r="N224" i="1"/>
  <c r="M217" i="1"/>
  <c r="M214" i="1"/>
  <c r="M218" i="1"/>
  <c r="M221" i="1"/>
  <c r="M231" i="1" s="1"/>
  <c r="M213" i="1"/>
  <c r="N172" i="1"/>
  <c r="N136" i="1"/>
  <c r="N148" i="1"/>
  <c r="N204" i="1"/>
  <c r="N196" i="1"/>
  <c r="N180" i="1"/>
  <c r="N164" i="1"/>
  <c r="N192" i="1"/>
  <c r="N200" i="1"/>
  <c r="N176" i="1"/>
  <c r="N144" i="1"/>
  <c r="N188" i="1"/>
  <c r="N168" i="1"/>
  <c r="N156" i="1"/>
  <c r="N152" i="1"/>
  <c r="N184" i="1"/>
  <c r="N160" i="1"/>
  <c r="N208" i="1"/>
  <c r="N140" i="1"/>
  <c r="N202" i="1"/>
  <c r="N190" i="1"/>
  <c r="N150" i="1"/>
  <c r="N154" i="1"/>
  <c r="N194" i="1"/>
  <c r="N182" i="1"/>
  <c r="N206" i="1"/>
  <c r="N138" i="1"/>
  <c r="N186" i="1"/>
  <c r="N158" i="1"/>
  <c r="N198" i="1"/>
  <c r="N174" i="1"/>
  <c r="N146" i="1"/>
  <c r="N170" i="1"/>
  <c r="N166" i="1"/>
  <c r="N178" i="1"/>
  <c r="N210" i="1"/>
  <c r="N162" i="1"/>
  <c r="N142" i="1"/>
  <c r="M163" i="1"/>
  <c r="M259" i="1" s="1"/>
  <c r="M16" i="19" s="1"/>
  <c r="M203" i="1"/>
  <c r="M269" i="1" s="1"/>
  <c r="M195" i="1"/>
  <c r="M267" i="1" s="1"/>
  <c r="M24" i="19" s="1"/>
  <c r="M139" i="1"/>
  <c r="M253" i="1" s="1"/>
  <c r="M10" i="19" s="1"/>
  <c r="M171" i="1"/>
  <c r="M261" i="1" s="1"/>
  <c r="M18" i="19" s="1"/>
  <c r="M175" i="1"/>
  <c r="M262" i="1" s="1"/>
  <c r="M19" i="19" s="1"/>
  <c r="M199" i="1"/>
  <c r="M268" i="1" s="1"/>
  <c r="M25" i="19" s="1"/>
  <c r="M143" i="1"/>
  <c r="M254" i="1" s="1"/>
  <c r="M11" i="19" s="1"/>
  <c r="M167" i="1"/>
  <c r="M260" i="1" s="1"/>
  <c r="M147" i="1"/>
  <c r="M255" i="1" s="1"/>
  <c r="M12" i="19" s="1"/>
  <c r="M183" i="1"/>
  <c r="M264" i="1" s="1"/>
  <c r="M21" i="19" s="1"/>
  <c r="M135" i="1"/>
  <c r="M252" i="1" s="1"/>
  <c r="M9" i="19" s="1"/>
  <c r="M187" i="1"/>
  <c r="M265" i="1" s="1"/>
  <c r="M22" i="19" s="1"/>
  <c r="M207" i="1"/>
  <c r="M270" i="1" s="1"/>
  <c r="M27" i="19" s="1"/>
  <c r="M191" i="1"/>
  <c r="M266" i="1" s="1"/>
  <c r="M23" i="19" s="1"/>
  <c r="M179" i="1"/>
  <c r="M263" i="1" s="1"/>
  <c r="M20" i="19" s="1"/>
  <c r="M159" i="1"/>
  <c r="M258" i="1" s="1"/>
  <c r="M15" i="19" s="1"/>
  <c r="M155" i="1"/>
  <c r="M257" i="1" s="1"/>
  <c r="M14" i="19" s="1"/>
  <c r="M151" i="1"/>
  <c r="M256" i="1" s="1"/>
  <c r="M13" i="19" s="1"/>
  <c r="N201" i="1"/>
  <c r="N181" i="1"/>
  <c r="N205" i="1"/>
  <c r="N169" i="1"/>
  <c r="N145" i="1"/>
  <c r="N157" i="1"/>
  <c r="N197" i="1"/>
  <c r="N153" i="1"/>
  <c r="N161" i="1"/>
  <c r="N149" i="1"/>
  <c r="N189" i="1"/>
  <c r="N173" i="1"/>
  <c r="N165" i="1"/>
  <c r="N177" i="1"/>
  <c r="N193" i="1"/>
  <c r="N137" i="1"/>
  <c r="N185" i="1"/>
  <c r="N141" i="1"/>
  <c r="N209" i="1"/>
  <c r="M26" i="19" l="1"/>
  <c r="M17" i="19"/>
  <c r="O4" i="19"/>
  <c r="O1" i="1"/>
  <c r="O1" i="19" s="1"/>
  <c r="O2" i="1"/>
  <c r="O5" i="1"/>
  <c r="O6" i="1" s="1"/>
  <c r="O6" i="19" s="1"/>
  <c r="L273" i="1"/>
  <c r="L30" i="19" s="1"/>
  <c r="L28" i="19"/>
  <c r="L251" i="1"/>
  <c r="L272" i="1"/>
  <c r="M271" i="1"/>
  <c r="N241" i="1"/>
  <c r="N237" i="1"/>
  <c r="M239" i="1"/>
  <c r="L247" i="1"/>
  <c r="M235" i="1"/>
  <c r="N233" i="1"/>
  <c r="M244" i="1"/>
  <c r="M243" i="1"/>
  <c r="M227" i="1"/>
  <c r="N229" i="1"/>
  <c r="O223" i="1"/>
  <c r="O225" i="1"/>
  <c r="O224" i="1"/>
  <c r="O222" i="1"/>
  <c r="N218" i="1"/>
  <c r="N213" i="1"/>
  <c r="N214" i="1"/>
  <c r="N217" i="1"/>
  <c r="N221" i="1"/>
  <c r="N239" i="1" s="1"/>
  <c r="O194" i="1"/>
  <c r="O198" i="1"/>
  <c r="O146" i="1"/>
  <c r="O202" i="1"/>
  <c r="O174" i="1"/>
  <c r="O154" i="1"/>
  <c r="O162" i="1"/>
  <c r="O158" i="1"/>
  <c r="O186" i="1"/>
  <c r="O206" i="1"/>
  <c r="O170" i="1"/>
  <c r="O182" i="1"/>
  <c r="O150" i="1"/>
  <c r="O178" i="1"/>
  <c r="O210" i="1"/>
  <c r="O138" i="1"/>
  <c r="O142" i="1"/>
  <c r="O190" i="1"/>
  <c r="O166" i="1"/>
  <c r="O173" i="1"/>
  <c r="O161" i="1"/>
  <c r="O169" i="1"/>
  <c r="O193" i="1"/>
  <c r="O189" i="1"/>
  <c r="O157" i="1"/>
  <c r="O205" i="1"/>
  <c r="O197" i="1"/>
  <c r="O141" i="1"/>
  <c r="O209" i="1"/>
  <c r="O181" i="1"/>
  <c r="O145" i="1"/>
  <c r="O201" i="1"/>
  <c r="O185" i="1"/>
  <c r="O153" i="1"/>
  <c r="O149" i="1"/>
  <c r="O177" i="1"/>
  <c r="O165" i="1"/>
  <c r="O137" i="1"/>
  <c r="N167" i="1"/>
  <c r="N260" i="1" s="1"/>
  <c r="N17" i="19" s="1"/>
  <c r="N195" i="1"/>
  <c r="N267" i="1" s="1"/>
  <c r="N24" i="19" s="1"/>
  <c r="N187" i="1"/>
  <c r="N265" i="1" s="1"/>
  <c r="N22" i="19" s="1"/>
  <c r="N147" i="1"/>
  <c r="N255" i="1" s="1"/>
  <c r="N12" i="19" s="1"/>
  <c r="N203" i="1"/>
  <c r="N269" i="1" s="1"/>
  <c r="N26" i="19" s="1"/>
  <c r="N179" i="1"/>
  <c r="N263" i="1" s="1"/>
  <c r="N20" i="19" s="1"/>
  <c r="N143" i="1"/>
  <c r="N254" i="1" s="1"/>
  <c r="N11" i="19" s="1"/>
  <c r="N183" i="1"/>
  <c r="N264" i="1" s="1"/>
  <c r="N21" i="19" s="1"/>
  <c r="N163" i="1"/>
  <c r="N259" i="1" s="1"/>
  <c r="N16" i="19" s="1"/>
  <c r="N191" i="1"/>
  <c r="N266" i="1" s="1"/>
  <c r="N23" i="19" s="1"/>
  <c r="N171" i="1"/>
  <c r="N261" i="1" s="1"/>
  <c r="N18" i="19" s="1"/>
  <c r="N175" i="1"/>
  <c r="N262" i="1" s="1"/>
  <c r="N19" i="19" s="1"/>
  <c r="N139" i="1"/>
  <c r="N253" i="1" s="1"/>
  <c r="N10" i="19" s="1"/>
  <c r="N199" i="1"/>
  <c r="N268" i="1" s="1"/>
  <c r="N25" i="19" s="1"/>
  <c r="N207" i="1"/>
  <c r="N270" i="1" s="1"/>
  <c r="N27" i="19" s="1"/>
  <c r="N135" i="1"/>
  <c r="N252" i="1" s="1"/>
  <c r="N9" i="19" s="1"/>
  <c r="N151" i="1"/>
  <c r="N256" i="1" s="1"/>
  <c r="N13" i="19" s="1"/>
  <c r="N155" i="1"/>
  <c r="N257" i="1" s="1"/>
  <c r="N14" i="19" s="1"/>
  <c r="N159" i="1"/>
  <c r="N258" i="1" s="1"/>
  <c r="N15" i="19" s="1"/>
  <c r="O196" i="1"/>
  <c r="O148" i="1"/>
  <c r="O152" i="1"/>
  <c r="O180" i="1"/>
  <c r="O192" i="1"/>
  <c r="O136" i="1"/>
  <c r="O208" i="1"/>
  <c r="O172" i="1"/>
  <c r="O156" i="1"/>
  <c r="O160" i="1"/>
  <c r="O140" i="1"/>
  <c r="O188" i="1"/>
  <c r="O164" i="1"/>
  <c r="O144" i="1"/>
  <c r="O200" i="1"/>
  <c r="O176" i="1"/>
  <c r="O204" i="1"/>
  <c r="O168" i="1"/>
  <c r="O184" i="1"/>
  <c r="O2" i="19" l="1"/>
  <c r="O7" i="1"/>
  <c r="M273" i="1"/>
  <c r="M30" i="19" s="1"/>
  <c r="M28" i="19"/>
  <c r="P4" i="1"/>
  <c r="O5" i="19"/>
  <c r="M251" i="1"/>
  <c r="M272" i="1"/>
  <c r="N271" i="1"/>
  <c r="O241" i="1"/>
  <c r="O237" i="1"/>
  <c r="M247" i="1"/>
  <c r="N231" i="1"/>
  <c r="N235" i="1"/>
  <c r="O233" i="1"/>
  <c r="O229" i="1"/>
  <c r="N244" i="1"/>
  <c r="N243" i="1"/>
  <c r="N227" i="1"/>
  <c r="P225" i="1"/>
  <c r="P222" i="1"/>
  <c r="P223" i="1"/>
  <c r="P224" i="1"/>
  <c r="O221" i="1"/>
  <c r="O231" i="1" s="1"/>
  <c r="O213" i="1"/>
  <c r="O214" i="1"/>
  <c r="O217" i="1"/>
  <c r="O218" i="1"/>
  <c r="P204" i="1"/>
  <c r="P144" i="1"/>
  <c r="P176" i="1"/>
  <c r="P196" i="1"/>
  <c r="P140" i="1"/>
  <c r="P160" i="1"/>
  <c r="P156" i="1"/>
  <c r="P200" i="1"/>
  <c r="P148" i="1"/>
  <c r="P180" i="1"/>
  <c r="P192" i="1"/>
  <c r="P188" i="1"/>
  <c r="P208" i="1"/>
  <c r="P168" i="1"/>
  <c r="P164" i="1"/>
  <c r="P172" i="1"/>
  <c r="P136" i="1"/>
  <c r="P184" i="1"/>
  <c r="P152" i="1"/>
  <c r="P190" i="1"/>
  <c r="P198" i="1"/>
  <c r="P210" i="1"/>
  <c r="P154" i="1"/>
  <c r="P186" i="1"/>
  <c r="P158" i="1"/>
  <c r="P178" i="1"/>
  <c r="P170" i="1"/>
  <c r="P174" i="1"/>
  <c r="P150" i="1"/>
  <c r="P182" i="1"/>
  <c r="P138" i="1"/>
  <c r="P162" i="1"/>
  <c r="P206" i="1"/>
  <c r="P194" i="1"/>
  <c r="P202" i="1"/>
  <c r="P146" i="1"/>
  <c r="P166" i="1"/>
  <c r="P142" i="1"/>
  <c r="O147" i="1"/>
  <c r="O255" i="1" s="1"/>
  <c r="O12" i="19" s="1"/>
  <c r="O139" i="1"/>
  <c r="O253" i="1" s="1"/>
  <c r="O10" i="19" s="1"/>
  <c r="O183" i="1"/>
  <c r="O264" i="1" s="1"/>
  <c r="O21" i="19" s="1"/>
  <c r="O203" i="1"/>
  <c r="O269" i="1" s="1"/>
  <c r="O26" i="19" s="1"/>
  <c r="O167" i="1"/>
  <c r="O260" i="1" s="1"/>
  <c r="O17" i="19" s="1"/>
  <c r="O171" i="1"/>
  <c r="O261" i="1" s="1"/>
  <c r="O18" i="19" s="1"/>
  <c r="O143" i="1"/>
  <c r="O254" i="1" s="1"/>
  <c r="O11" i="19" s="1"/>
  <c r="O163" i="1"/>
  <c r="O259" i="1" s="1"/>
  <c r="O16" i="19" s="1"/>
  <c r="O195" i="1"/>
  <c r="O267" i="1" s="1"/>
  <c r="O24" i="19" s="1"/>
  <c r="O187" i="1"/>
  <c r="O265" i="1" s="1"/>
  <c r="O22" i="19" s="1"/>
  <c r="O175" i="1"/>
  <c r="O262" i="1" s="1"/>
  <c r="O19" i="19" s="1"/>
  <c r="O179" i="1"/>
  <c r="O263" i="1" s="1"/>
  <c r="O20" i="19" s="1"/>
  <c r="O207" i="1"/>
  <c r="O270" i="1" s="1"/>
  <c r="O27" i="19" s="1"/>
  <c r="O199" i="1"/>
  <c r="O268" i="1" s="1"/>
  <c r="O25" i="19" s="1"/>
  <c r="O191" i="1"/>
  <c r="O266" i="1" s="1"/>
  <c r="O23" i="19" s="1"/>
  <c r="O135" i="1"/>
  <c r="O252" i="1" s="1"/>
  <c r="O9" i="19" s="1"/>
  <c r="O155" i="1"/>
  <c r="O257" i="1" s="1"/>
  <c r="O14" i="19" s="1"/>
  <c r="O151" i="1"/>
  <c r="O256" i="1" s="1"/>
  <c r="O13" i="19" s="1"/>
  <c r="O159" i="1"/>
  <c r="O258" i="1" s="1"/>
  <c r="O15" i="19" s="1"/>
  <c r="P209" i="1"/>
  <c r="P169" i="1"/>
  <c r="P149" i="1"/>
  <c r="P173" i="1"/>
  <c r="P157" i="1"/>
  <c r="P189" i="1"/>
  <c r="P205" i="1"/>
  <c r="P161" i="1"/>
  <c r="P201" i="1"/>
  <c r="P165" i="1"/>
  <c r="P181" i="1"/>
  <c r="P141" i="1"/>
  <c r="P197" i="1"/>
  <c r="P177" i="1"/>
  <c r="P153" i="1"/>
  <c r="P185" i="1"/>
  <c r="P137" i="1"/>
  <c r="P193" i="1"/>
  <c r="P145" i="1"/>
  <c r="N273" i="1" l="1"/>
  <c r="N30" i="19" s="1"/>
  <c r="N28" i="19"/>
  <c r="P4" i="19"/>
  <c r="P1" i="1"/>
  <c r="P1" i="19" s="1"/>
  <c r="P5" i="1"/>
  <c r="P6" i="1" s="1"/>
  <c r="P6" i="19" s="1"/>
  <c r="P2" i="1"/>
  <c r="N251" i="1"/>
  <c r="N272" i="1"/>
  <c r="O271" i="1"/>
  <c r="P237" i="1"/>
  <c r="P241" i="1"/>
  <c r="O239" i="1"/>
  <c r="N247" i="1"/>
  <c r="O235" i="1"/>
  <c r="P229" i="1"/>
  <c r="O243" i="1"/>
  <c r="O244" i="1"/>
  <c r="O227" i="1"/>
  <c r="Q223" i="1"/>
  <c r="Q222" i="1"/>
  <c r="Q224" i="1"/>
  <c r="Q225" i="1"/>
  <c r="P218" i="1"/>
  <c r="P213" i="1"/>
  <c r="P214" i="1"/>
  <c r="P221" i="1"/>
  <c r="P231" i="1" s="1"/>
  <c r="P217" i="1"/>
  <c r="Q140" i="1"/>
  <c r="Q148" i="1"/>
  <c r="Q196" i="1"/>
  <c r="Q188" i="1"/>
  <c r="Q208" i="1"/>
  <c r="Q144" i="1"/>
  <c r="Q176" i="1"/>
  <c r="Q136" i="1"/>
  <c r="Q192" i="1"/>
  <c r="Q160" i="1"/>
  <c r="Q156" i="1"/>
  <c r="Q200" i="1"/>
  <c r="Q164" i="1"/>
  <c r="Q168" i="1"/>
  <c r="Q172" i="1"/>
  <c r="Q184" i="1"/>
  <c r="Q204" i="1"/>
  <c r="Q152" i="1"/>
  <c r="Q180" i="1"/>
  <c r="P139" i="1"/>
  <c r="P253" i="1" s="1"/>
  <c r="P10" i="19" s="1"/>
  <c r="P183" i="1"/>
  <c r="P264" i="1" s="1"/>
  <c r="P21" i="19" s="1"/>
  <c r="P207" i="1"/>
  <c r="P270" i="1" s="1"/>
  <c r="P27" i="19" s="1"/>
  <c r="P167" i="1"/>
  <c r="P260" i="1" s="1"/>
  <c r="P17" i="19" s="1"/>
  <c r="P147" i="1"/>
  <c r="P255" i="1" s="1"/>
  <c r="P12" i="19" s="1"/>
  <c r="P195" i="1"/>
  <c r="P267" i="1" s="1"/>
  <c r="P24" i="19" s="1"/>
  <c r="P163" i="1"/>
  <c r="P259" i="1" s="1"/>
  <c r="P16" i="19" s="1"/>
  <c r="P171" i="1"/>
  <c r="P261" i="1" s="1"/>
  <c r="P18" i="19" s="1"/>
  <c r="P199" i="1"/>
  <c r="P268" i="1" s="1"/>
  <c r="P25" i="19" s="1"/>
  <c r="P179" i="1"/>
  <c r="P263" i="1" s="1"/>
  <c r="P20" i="19" s="1"/>
  <c r="P191" i="1"/>
  <c r="P266" i="1" s="1"/>
  <c r="P23" i="19" s="1"/>
  <c r="P175" i="1"/>
  <c r="P262" i="1" s="1"/>
  <c r="P19" i="19" s="1"/>
  <c r="P203" i="1"/>
  <c r="P269" i="1" s="1"/>
  <c r="P26" i="19" s="1"/>
  <c r="P187" i="1"/>
  <c r="P265" i="1" s="1"/>
  <c r="P22" i="19" s="1"/>
  <c r="P143" i="1"/>
  <c r="P254" i="1" s="1"/>
  <c r="P11" i="19" s="1"/>
  <c r="P135" i="1"/>
  <c r="P252" i="1" s="1"/>
  <c r="P9" i="19" s="1"/>
  <c r="P159" i="1"/>
  <c r="P258" i="1" s="1"/>
  <c r="P15" i="19" s="1"/>
  <c r="P151" i="1"/>
  <c r="P256" i="1" s="1"/>
  <c r="P13" i="19" s="1"/>
  <c r="P155" i="1"/>
  <c r="P257" i="1" s="1"/>
  <c r="P14" i="19" s="1"/>
  <c r="Q141" i="1"/>
  <c r="Q157" i="1"/>
  <c r="Q173" i="1"/>
  <c r="Q169" i="1"/>
  <c r="Q165" i="1"/>
  <c r="Q177" i="1"/>
  <c r="Q153" i="1"/>
  <c r="Q209" i="1"/>
  <c r="Q201" i="1"/>
  <c r="Q181" i="1"/>
  <c r="Q205" i="1"/>
  <c r="Q185" i="1"/>
  <c r="Q193" i="1"/>
  <c r="Q161" i="1"/>
  <c r="Q197" i="1"/>
  <c r="Q137" i="1"/>
  <c r="Q149" i="1"/>
  <c r="Q145" i="1"/>
  <c r="Q189" i="1"/>
  <c r="Q194" i="1"/>
  <c r="Q202" i="1"/>
  <c r="Q170" i="1"/>
  <c r="Q166" i="1"/>
  <c r="Q206" i="1"/>
  <c r="Q158" i="1"/>
  <c r="Q138" i="1"/>
  <c r="Q190" i="1"/>
  <c r="Q142" i="1"/>
  <c r="Q198" i="1"/>
  <c r="Q174" i="1"/>
  <c r="Q178" i="1"/>
  <c r="Q150" i="1"/>
  <c r="Q154" i="1"/>
  <c r="Q162" i="1"/>
  <c r="Q186" i="1"/>
  <c r="Q210" i="1"/>
  <c r="Q146" i="1"/>
  <c r="Q182" i="1"/>
  <c r="O273" i="1" l="1"/>
  <c r="O30" i="19" s="1"/>
  <c r="O28" i="19"/>
  <c r="P2" i="19"/>
  <c r="P7" i="1"/>
  <c r="Q4" i="1"/>
  <c r="P5" i="19"/>
  <c r="O251" i="1"/>
  <c r="O272" i="1"/>
  <c r="P271" i="1"/>
  <c r="Q241" i="1"/>
  <c r="Q237" i="1"/>
  <c r="P239" i="1"/>
  <c r="P233" i="1"/>
  <c r="O247" i="1"/>
  <c r="P235" i="1"/>
  <c r="Q233" i="1"/>
  <c r="Q229" i="1"/>
  <c r="P243" i="1"/>
  <c r="P244" i="1"/>
  <c r="P227" i="1"/>
  <c r="R223" i="1"/>
  <c r="R225" i="1"/>
  <c r="R222" i="1"/>
  <c r="R224" i="1"/>
  <c r="Q218" i="1"/>
  <c r="Q213" i="1"/>
  <c r="Q214" i="1"/>
  <c r="Q217" i="1"/>
  <c r="Q221" i="1"/>
  <c r="Q231" i="1" s="1"/>
  <c r="Q207" i="1"/>
  <c r="Q270" i="1" s="1"/>
  <c r="Q27" i="19" s="1"/>
  <c r="Q171" i="1"/>
  <c r="Q261" i="1" s="1"/>
  <c r="Q18" i="19" s="1"/>
  <c r="Q163" i="1"/>
  <c r="Q259" i="1" s="1"/>
  <c r="Q16" i="19" s="1"/>
  <c r="Q187" i="1"/>
  <c r="Q265" i="1" s="1"/>
  <c r="Q22" i="19" s="1"/>
  <c r="Q183" i="1"/>
  <c r="Q264" i="1" s="1"/>
  <c r="Q21" i="19" s="1"/>
  <c r="Q191" i="1"/>
  <c r="Q266" i="1" s="1"/>
  <c r="Q23" i="19" s="1"/>
  <c r="Q203" i="1"/>
  <c r="Q269" i="1" s="1"/>
  <c r="Q26" i="19" s="1"/>
  <c r="Q179" i="1"/>
  <c r="Q263" i="1" s="1"/>
  <c r="Q20" i="19" s="1"/>
  <c r="Q139" i="1"/>
  <c r="Q253" i="1" s="1"/>
  <c r="Q10" i="19" s="1"/>
  <c r="Q199" i="1"/>
  <c r="Q268" i="1" s="1"/>
  <c r="Q25" i="19" s="1"/>
  <c r="Q167" i="1"/>
  <c r="Q260" i="1" s="1"/>
  <c r="Q17" i="19" s="1"/>
  <c r="Q143" i="1"/>
  <c r="Q254" i="1" s="1"/>
  <c r="Q11" i="19" s="1"/>
  <c r="Q147" i="1"/>
  <c r="Q255" i="1" s="1"/>
  <c r="Q12" i="19" s="1"/>
  <c r="Q195" i="1"/>
  <c r="Q267" i="1" s="1"/>
  <c r="Q24" i="19" s="1"/>
  <c r="Q175" i="1"/>
  <c r="Q262" i="1" s="1"/>
  <c r="Q19" i="19" s="1"/>
  <c r="Q135" i="1"/>
  <c r="Q252" i="1" s="1"/>
  <c r="Q9" i="19" s="1"/>
  <c r="Q159" i="1"/>
  <c r="Q258" i="1" s="1"/>
  <c r="Q15" i="19" s="1"/>
  <c r="Q155" i="1"/>
  <c r="Q257" i="1" s="1"/>
  <c r="Q14" i="19" s="1"/>
  <c r="Q151" i="1"/>
  <c r="Q256" i="1" s="1"/>
  <c r="Q13" i="19" s="1"/>
  <c r="R160" i="1"/>
  <c r="R140" i="1"/>
  <c r="R172" i="1"/>
  <c r="R180" i="1"/>
  <c r="R196" i="1"/>
  <c r="R200" i="1"/>
  <c r="R164" i="1"/>
  <c r="R148" i="1"/>
  <c r="R204" i="1"/>
  <c r="R192" i="1"/>
  <c r="R144" i="1"/>
  <c r="R188" i="1"/>
  <c r="R168" i="1"/>
  <c r="R152" i="1"/>
  <c r="R184" i="1"/>
  <c r="R156" i="1"/>
  <c r="R176" i="1"/>
  <c r="R136" i="1"/>
  <c r="R208" i="1"/>
  <c r="R177" i="1"/>
  <c r="R173" i="1"/>
  <c r="R197" i="1"/>
  <c r="R157" i="1"/>
  <c r="R181" i="1"/>
  <c r="R209" i="1"/>
  <c r="R193" i="1"/>
  <c r="R141" i="1"/>
  <c r="R165" i="1"/>
  <c r="R205" i="1"/>
  <c r="R153" i="1"/>
  <c r="R161" i="1"/>
  <c r="R189" i="1"/>
  <c r="R149" i="1"/>
  <c r="R145" i="1"/>
  <c r="R137" i="1"/>
  <c r="R185" i="1"/>
  <c r="R169" i="1"/>
  <c r="R201" i="1"/>
  <c r="R210" i="1"/>
  <c r="R154" i="1"/>
  <c r="R186" i="1"/>
  <c r="R162" i="1"/>
  <c r="R150" i="1"/>
  <c r="R174" i="1"/>
  <c r="R170" i="1"/>
  <c r="R182" i="1"/>
  <c r="R146" i="1"/>
  <c r="R178" i="1"/>
  <c r="R202" i="1"/>
  <c r="R194" i="1"/>
  <c r="R166" i="1"/>
  <c r="R206" i="1"/>
  <c r="R198" i="1"/>
  <c r="R158" i="1"/>
  <c r="R142" i="1"/>
  <c r="R190" i="1"/>
  <c r="R138" i="1"/>
  <c r="Q4" i="19" l="1"/>
  <c r="Q1" i="1"/>
  <c r="Q1" i="19" s="1"/>
  <c r="Q2" i="1"/>
  <c r="Q5" i="1"/>
  <c r="P273" i="1"/>
  <c r="P30" i="19" s="1"/>
  <c r="P28" i="19"/>
  <c r="P251" i="1"/>
  <c r="P272" i="1"/>
  <c r="Q271" i="1"/>
  <c r="R237" i="1"/>
  <c r="Q239" i="1"/>
  <c r="R241" i="1"/>
  <c r="P247" i="1"/>
  <c r="Q235" i="1"/>
  <c r="Q244" i="1"/>
  <c r="Q243" i="1"/>
  <c r="Q227" i="1"/>
  <c r="R229" i="1"/>
  <c r="R233" i="1"/>
  <c r="S225" i="1"/>
  <c r="S222" i="1"/>
  <c r="S224" i="1"/>
  <c r="S223" i="1"/>
  <c r="R213" i="1"/>
  <c r="R221" i="1"/>
  <c r="R231" i="1" s="1"/>
  <c r="R214" i="1"/>
  <c r="R218" i="1"/>
  <c r="R217" i="1"/>
  <c r="S160" i="1"/>
  <c r="S196" i="1"/>
  <c r="S180" i="1"/>
  <c r="S172" i="1"/>
  <c r="S176" i="1"/>
  <c r="S188" i="1"/>
  <c r="S136" i="1"/>
  <c r="E136" i="1" s="1"/>
  <c r="S140" i="1"/>
  <c r="S208" i="1"/>
  <c r="S192" i="1"/>
  <c r="S144" i="1"/>
  <c r="S200" i="1"/>
  <c r="S204" i="1"/>
  <c r="S184" i="1"/>
  <c r="S168" i="1"/>
  <c r="S156" i="1"/>
  <c r="S152" i="1"/>
  <c r="S148" i="1"/>
  <c r="S164" i="1"/>
  <c r="R191" i="1"/>
  <c r="R266" i="1" s="1"/>
  <c r="R23" i="19" s="1"/>
  <c r="R163" i="1"/>
  <c r="R259" i="1" s="1"/>
  <c r="R16" i="19" s="1"/>
  <c r="R199" i="1"/>
  <c r="R268" i="1" s="1"/>
  <c r="R25" i="19" s="1"/>
  <c r="R183" i="1"/>
  <c r="R264" i="1" s="1"/>
  <c r="R21" i="19" s="1"/>
  <c r="R139" i="1"/>
  <c r="R253" i="1" s="1"/>
  <c r="R10" i="19" s="1"/>
  <c r="R147" i="1"/>
  <c r="R255" i="1" s="1"/>
  <c r="R12" i="19" s="1"/>
  <c r="R203" i="1"/>
  <c r="R269" i="1" s="1"/>
  <c r="R26" i="19" s="1"/>
  <c r="R175" i="1"/>
  <c r="R262" i="1" s="1"/>
  <c r="R19" i="19" s="1"/>
  <c r="R187" i="1"/>
  <c r="R265" i="1" s="1"/>
  <c r="R22" i="19" s="1"/>
  <c r="R195" i="1"/>
  <c r="R267" i="1" s="1"/>
  <c r="R24" i="19" s="1"/>
  <c r="R167" i="1"/>
  <c r="R260" i="1" s="1"/>
  <c r="R17" i="19" s="1"/>
  <c r="R179" i="1"/>
  <c r="R263" i="1" s="1"/>
  <c r="R20" i="19" s="1"/>
  <c r="R143" i="1"/>
  <c r="R254" i="1" s="1"/>
  <c r="R11" i="19" s="1"/>
  <c r="R207" i="1"/>
  <c r="R270" i="1" s="1"/>
  <c r="R27" i="19" s="1"/>
  <c r="R171" i="1"/>
  <c r="R261" i="1" s="1"/>
  <c r="R18" i="19" s="1"/>
  <c r="R135" i="1"/>
  <c r="R252" i="1" s="1"/>
  <c r="R9" i="19" s="1"/>
  <c r="R159" i="1"/>
  <c r="R258" i="1" s="1"/>
  <c r="R15" i="19" s="1"/>
  <c r="R155" i="1"/>
  <c r="R257" i="1" s="1"/>
  <c r="R14" i="19" s="1"/>
  <c r="R151" i="1"/>
  <c r="R256" i="1" s="1"/>
  <c r="R13" i="19" s="1"/>
  <c r="S142" i="1"/>
  <c r="S150" i="1"/>
  <c r="S182" i="1"/>
  <c r="S174" i="1"/>
  <c r="S158" i="1"/>
  <c r="S186" i="1"/>
  <c r="S210" i="1"/>
  <c r="S202" i="1"/>
  <c r="S170" i="1"/>
  <c r="S162" i="1"/>
  <c r="S138" i="1"/>
  <c r="S154" i="1"/>
  <c r="S146" i="1"/>
  <c r="S190" i="1"/>
  <c r="S166" i="1"/>
  <c r="S206" i="1"/>
  <c r="S194" i="1"/>
  <c r="S198" i="1"/>
  <c r="S178" i="1"/>
  <c r="S141" i="1"/>
  <c r="S173" i="1"/>
  <c r="S185" i="1"/>
  <c r="S153" i="1"/>
  <c r="S197" i="1"/>
  <c r="S181" i="1"/>
  <c r="S165" i="1"/>
  <c r="S157" i="1"/>
  <c r="S169" i="1"/>
  <c r="S161" i="1"/>
  <c r="S205" i="1"/>
  <c r="S177" i="1"/>
  <c r="S209" i="1"/>
  <c r="S193" i="1"/>
  <c r="S201" i="1"/>
  <c r="S149" i="1"/>
  <c r="S145" i="1"/>
  <c r="S189" i="1"/>
  <c r="S137" i="1"/>
  <c r="Q273" i="1" l="1"/>
  <c r="Q30" i="19" s="1"/>
  <c r="Q28" i="19"/>
  <c r="R4" i="1"/>
  <c r="Q5" i="19"/>
  <c r="Q6" i="1"/>
  <c r="Q6" i="19" s="1"/>
  <c r="Q2" i="19"/>
  <c r="Q7" i="1"/>
  <c r="Q251" i="1"/>
  <c r="Q272" i="1"/>
  <c r="R271" i="1"/>
  <c r="S241" i="1"/>
  <c r="S237" i="1"/>
  <c r="R239" i="1"/>
  <c r="Q247" i="1"/>
  <c r="R235" i="1"/>
  <c r="S233" i="1"/>
  <c r="S229" i="1"/>
  <c r="R244" i="1"/>
  <c r="R243" i="1"/>
  <c r="R227" i="1"/>
  <c r="S213" i="1"/>
  <c r="S218" i="1"/>
  <c r="S217" i="1"/>
  <c r="S221" i="1"/>
  <c r="S231" i="1" s="1"/>
  <c r="S214" i="1"/>
  <c r="S183" i="1"/>
  <c r="S264" i="1" s="1"/>
  <c r="S179" i="1"/>
  <c r="S263" i="1" s="1"/>
  <c r="S175" i="1"/>
  <c r="S262" i="1" s="1"/>
  <c r="S167" i="1"/>
  <c r="S260" i="1" s="1"/>
  <c r="S203" i="1"/>
  <c r="S269" i="1" s="1"/>
  <c r="S187" i="1"/>
  <c r="S265" i="1" s="1"/>
  <c r="S163" i="1"/>
  <c r="S259" i="1" s="1"/>
  <c r="S16" i="19" s="1"/>
  <c r="S147" i="1"/>
  <c r="S255" i="1" s="1"/>
  <c r="S171" i="1"/>
  <c r="S261" i="1" s="1"/>
  <c r="S207" i="1"/>
  <c r="S270" i="1" s="1"/>
  <c r="S195" i="1"/>
  <c r="S267" i="1" s="1"/>
  <c r="S191" i="1"/>
  <c r="S266" i="1" s="1"/>
  <c r="S199" i="1"/>
  <c r="S268" i="1" s="1"/>
  <c r="S143" i="1"/>
  <c r="S254" i="1" s="1"/>
  <c r="S11" i="19" s="1"/>
  <c r="S139" i="1"/>
  <c r="S253" i="1" s="1"/>
  <c r="S10" i="19" s="1"/>
  <c r="S135" i="1"/>
  <c r="S155" i="1"/>
  <c r="S257" i="1" s="1"/>
  <c r="S14" i="19" s="1"/>
  <c r="S159" i="1"/>
  <c r="S258" i="1" s="1"/>
  <c r="S15" i="19" s="1"/>
  <c r="S151" i="1"/>
  <c r="S256" i="1" s="1"/>
  <c r="S13" i="19" s="1"/>
  <c r="S26" i="19" l="1"/>
  <c r="E269" i="1"/>
  <c r="S25" i="19"/>
  <c r="E268" i="1"/>
  <c r="S23" i="19"/>
  <c r="E266" i="1"/>
  <c r="C311" i="1" s="1"/>
  <c r="S17" i="19"/>
  <c r="E260" i="1"/>
  <c r="C305" i="1" s="1"/>
  <c r="S19" i="19"/>
  <c r="E262" i="1"/>
  <c r="C307" i="1" s="1"/>
  <c r="S27" i="19"/>
  <c r="E270" i="1"/>
  <c r="S20" i="19"/>
  <c r="E263" i="1"/>
  <c r="C308" i="1" s="1"/>
  <c r="S22" i="19"/>
  <c r="E265" i="1"/>
  <c r="C310" i="1" s="1"/>
  <c r="S24" i="19"/>
  <c r="E267" i="1"/>
  <c r="C312" i="1" s="1"/>
  <c r="S18" i="19"/>
  <c r="E261" i="1"/>
  <c r="C306" i="1" s="1"/>
  <c r="S21" i="19"/>
  <c r="E264" i="1"/>
  <c r="C309" i="1" s="1"/>
  <c r="R4" i="19"/>
  <c r="R5" i="1"/>
  <c r="R2" i="1"/>
  <c r="R1" i="1"/>
  <c r="R1" i="19" s="1"/>
  <c r="E255" i="1"/>
  <c r="S12" i="19"/>
  <c r="R273" i="1"/>
  <c r="R30" i="19" s="1"/>
  <c r="R28" i="19"/>
  <c r="R251" i="1"/>
  <c r="R272" i="1"/>
  <c r="S239" i="1"/>
  <c r="S252" i="1"/>
  <c r="E135" i="1"/>
  <c r="R247" i="1"/>
  <c r="S235" i="1"/>
  <c r="S244" i="1"/>
  <c r="S243" i="1"/>
  <c r="S227" i="1"/>
  <c r="E12" i="19" l="1"/>
  <c r="C300" i="1"/>
  <c r="S9" i="19"/>
  <c r="E252" i="1"/>
  <c r="C297" i="1" s="1"/>
  <c r="R2" i="19"/>
  <c r="R7" i="1"/>
  <c r="S4" i="1"/>
  <c r="R5" i="19"/>
  <c r="R6" i="1"/>
  <c r="R6" i="19" s="1"/>
  <c r="E243" i="1"/>
  <c r="S271" i="1"/>
  <c r="E271" i="1" s="1"/>
  <c r="S247" i="1"/>
  <c r="E9" i="19" l="1"/>
  <c r="E28" i="19"/>
  <c r="S28" i="19"/>
  <c r="S2" i="1"/>
  <c r="S1" i="1"/>
  <c r="S1" i="19" s="1"/>
  <c r="S4" i="19"/>
  <c r="S5" i="1"/>
  <c r="S5" i="19" s="1"/>
  <c r="S251" i="1"/>
  <c r="S272" i="1"/>
  <c r="G272" i="1" s="1"/>
  <c r="S273" i="1"/>
  <c r="E257" i="1"/>
  <c r="E19" i="19"/>
  <c r="E17" i="19"/>
  <c r="E26" i="19"/>
  <c r="E22" i="19"/>
  <c r="E253" i="1"/>
  <c r="E254" i="1"/>
  <c r="E21" i="19"/>
  <c r="E259" i="1"/>
  <c r="E24" i="19"/>
  <c r="E256" i="1"/>
  <c r="E20" i="19"/>
  <c r="E23" i="19"/>
  <c r="E258" i="1"/>
  <c r="E27" i="19"/>
  <c r="E25" i="19"/>
  <c r="E18" i="19"/>
  <c r="E15" i="19" l="1"/>
  <c r="C303" i="1"/>
  <c r="E16" i="19"/>
  <c r="C304" i="1"/>
  <c r="E14" i="19"/>
  <c r="C302" i="1"/>
  <c r="E10" i="19"/>
  <c r="C298" i="1"/>
  <c r="E13" i="19"/>
  <c r="C301" i="1"/>
  <c r="E11" i="19"/>
  <c r="C299" i="1"/>
  <c r="E277" i="1"/>
  <c r="E276" i="1"/>
  <c r="E61" i="19"/>
  <c r="E4" i="1"/>
  <c r="E4" i="19"/>
  <c r="S6" i="1"/>
  <c r="S6" i="19" s="1"/>
  <c r="S2" i="19"/>
  <c r="S7" i="1"/>
  <c r="M274" i="1"/>
  <c r="S30" i="19"/>
  <c r="E273" i="1"/>
  <c r="F277" i="1" l="1"/>
  <c r="D277" i="1"/>
  <c r="F276" i="1"/>
  <c r="D276" i="1"/>
  <c r="H61" i="19"/>
  <c r="E30" i="19"/>
  <c r="H274" i="1"/>
  <c r="I274" i="1"/>
  <c r="J274" i="1"/>
  <c r="N274" i="1"/>
  <c r="P274" i="1"/>
  <c r="O274" i="1"/>
  <c r="S274" i="1"/>
  <c r="L274" i="1"/>
  <c r="K274" i="1"/>
  <c r="Q274" i="1"/>
  <c r="R274" i="1"/>
  <c r="E281" i="1"/>
  <c r="E282" i="1"/>
  <c r="E283" i="1"/>
  <c r="E291" i="1"/>
  <c r="E293" i="1"/>
  <c r="E284" i="1"/>
  <c r="E292" i="1"/>
  <c r="E289" i="1"/>
  <c r="E285" i="1"/>
  <c r="E278" i="1"/>
  <c r="E286" i="1"/>
  <c r="E294" i="1"/>
  <c r="E279" i="1"/>
  <c r="E287" i="1"/>
  <c r="E295" i="1"/>
  <c r="E290" i="1"/>
  <c r="E280" i="1"/>
  <c r="E288" i="1"/>
  <c r="C277" i="1"/>
  <c r="C276" i="1"/>
  <c r="F279" i="1" l="1"/>
  <c r="F293" i="1"/>
  <c r="F294" i="1"/>
  <c r="F291" i="1"/>
  <c r="F286" i="1"/>
  <c r="F283" i="1"/>
  <c r="F288" i="1"/>
  <c r="F278" i="1"/>
  <c r="F282" i="1"/>
  <c r="F280" i="1"/>
  <c r="F285" i="1"/>
  <c r="F281" i="1"/>
  <c r="F284" i="1"/>
  <c r="F289" i="1"/>
  <c r="F287" i="1"/>
  <c r="F290" i="1"/>
  <c r="F295" i="1"/>
  <c r="F292" i="1"/>
  <c r="D282" i="1"/>
  <c r="D284" i="1"/>
  <c r="D279" i="1"/>
  <c r="D289" i="1"/>
  <c r="D294" i="1"/>
  <c r="D281" i="1"/>
  <c r="D286" i="1"/>
  <c r="D288" i="1"/>
  <c r="D278" i="1"/>
  <c r="D291" i="1"/>
  <c r="D280" i="1"/>
  <c r="D293" i="1"/>
  <c r="D287" i="1"/>
  <c r="D283" i="1"/>
  <c r="D292" i="1"/>
  <c r="D285" i="1"/>
  <c r="D290" i="1"/>
  <c r="D295" i="1"/>
  <c r="H276" i="1"/>
  <c r="N276" i="1"/>
  <c r="O276" i="1"/>
  <c r="P276" i="1"/>
  <c r="I276" i="1"/>
  <c r="Q276" i="1"/>
  <c r="J276" i="1"/>
  <c r="K276" i="1"/>
  <c r="L276" i="1"/>
  <c r="M276" i="1"/>
  <c r="R276" i="1"/>
  <c r="S276" i="1"/>
  <c r="O277" i="1"/>
  <c r="P277" i="1"/>
  <c r="Q277" i="1"/>
  <c r="R277" i="1"/>
  <c r="I277" i="1"/>
  <c r="S277" i="1"/>
  <c r="J277" i="1"/>
  <c r="K277" i="1"/>
  <c r="H277" i="1"/>
  <c r="L277" i="1"/>
  <c r="M277" i="1"/>
  <c r="N277" i="1"/>
  <c r="C291" i="1"/>
  <c r="C290" i="1"/>
  <c r="C281" i="1"/>
  <c r="C278" i="1"/>
  <c r="C286" i="1"/>
  <c r="C292" i="1"/>
  <c r="C287" i="1"/>
  <c r="C288" i="1"/>
  <c r="C285" i="1"/>
  <c r="C293" i="1"/>
  <c r="C282" i="1"/>
  <c r="C295" i="1"/>
  <c r="C294" i="1"/>
  <c r="C284" i="1"/>
  <c r="C283" i="1"/>
  <c r="C279" i="1"/>
  <c r="C280" i="1"/>
  <c r="C289" i="1"/>
  <c r="B42" i="19"/>
  <c r="B36" i="19"/>
  <c r="B39" i="19"/>
  <c r="B47" i="19"/>
  <c r="B53" i="19"/>
  <c r="B43" i="19"/>
  <c r="B35" i="19"/>
  <c r="B52" i="19"/>
  <c r="B44" i="19"/>
  <c r="B37" i="19"/>
  <c r="B40" i="19"/>
  <c r="B45" i="19"/>
  <c r="B51" i="19"/>
  <c r="B48" i="19"/>
  <c r="B41" i="19"/>
  <c r="B54" i="19"/>
  <c r="B49" i="19"/>
  <c r="B50" i="19"/>
  <c r="B46" i="19"/>
  <c r="M278" i="1" l="1"/>
  <c r="L288" i="1"/>
  <c r="R279" i="1"/>
  <c r="N287" i="1"/>
  <c r="N286" i="1"/>
  <c r="I280" i="1"/>
  <c r="Q295" i="1"/>
  <c r="M281" i="1"/>
  <c r="S281" i="1"/>
  <c r="K282" i="1"/>
  <c r="L282" i="1"/>
  <c r="P280" i="1"/>
  <c r="H285" i="1"/>
  <c r="N285" i="1"/>
  <c r="K285" i="1"/>
  <c r="I285" i="1"/>
  <c r="R280" i="1"/>
  <c r="R285" i="1"/>
  <c r="S285" i="1"/>
  <c r="H281" i="1"/>
  <c r="J281" i="1"/>
  <c r="N281" i="1"/>
  <c r="P281" i="1"/>
  <c r="O281" i="1"/>
  <c r="K290" i="1"/>
  <c r="O282" i="1"/>
  <c r="H290" i="1"/>
  <c r="I281" i="1"/>
  <c r="L281" i="1"/>
  <c r="M290" i="1"/>
  <c r="R281" i="1"/>
  <c r="K281" i="1"/>
  <c r="P282" i="1"/>
  <c r="Q281" i="1"/>
  <c r="Q282" i="1"/>
  <c r="Q290" i="1"/>
  <c r="I290" i="1"/>
  <c r="J290" i="1"/>
  <c r="L290" i="1"/>
  <c r="P283" i="1"/>
  <c r="O289" i="1"/>
  <c r="S282" i="1"/>
  <c r="R282" i="1"/>
  <c r="N282" i="1"/>
  <c r="J285" i="1"/>
  <c r="Q285" i="1"/>
  <c r="O285" i="1"/>
  <c r="M285" i="1"/>
  <c r="L279" i="1"/>
  <c r="Q279" i="1"/>
  <c r="K279" i="1"/>
  <c r="H294" i="1"/>
  <c r="H279" i="1"/>
  <c r="L278" i="1"/>
  <c r="O279" i="1"/>
  <c r="N290" i="1"/>
  <c r="J279" i="1"/>
  <c r="N279" i="1"/>
  <c r="Q291" i="1"/>
  <c r="P279" i="1"/>
  <c r="M279" i="1"/>
  <c r="P290" i="1"/>
  <c r="S290" i="1"/>
  <c r="S279" i="1"/>
  <c r="I279" i="1"/>
  <c r="O290" i="1"/>
  <c r="R290" i="1"/>
  <c r="H293" i="1"/>
  <c r="R295" i="1"/>
  <c r="R283" i="1"/>
  <c r="Q293" i="1"/>
  <c r="O288" i="1"/>
  <c r="I287" i="1"/>
  <c r="M283" i="1"/>
  <c r="J294" i="1"/>
  <c r="N292" i="1"/>
  <c r="K278" i="1"/>
  <c r="O287" i="1"/>
  <c r="I288" i="1"/>
  <c r="I293" i="1"/>
  <c r="I289" i="1"/>
  <c r="H288" i="1"/>
  <c r="P293" i="1"/>
  <c r="L295" i="1"/>
  <c r="N283" i="1"/>
  <c r="S288" i="1"/>
  <c r="M291" i="1"/>
  <c r="M293" i="1"/>
  <c r="Q292" i="1"/>
  <c r="P295" i="1"/>
  <c r="K288" i="1"/>
  <c r="S291" i="1"/>
  <c r="O295" i="1"/>
  <c r="P285" i="1"/>
  <c r="L283" i="1"/>
  <c r="P288" i="1"/>
  <c r="P291" i="1"/>
  <c r="J284" i="1"/>
  <c r="O293" i="1"/>
  <c r="S287" i="1"/>
  <c r="I295" i="1"/>
  <c r="R291" i="1"/>
  <c r="Q283" i="1"/>
  <c r="J288" i="1"/>
  <c r="J291" i="1"/>
  <c r="S293" i="1"/>
  <c r="S294" i="1"/>
  <c r="M287" i="1"/>
  <c r="S295" i="1"/>
  <c r="L285" i="1"/>
  <c r="S283" i="1"/>
  <c r="K291" i="1"/>
  <c r="I286" i="1"/>
  <c r="L293" i="1"/>
  <c r="Q294" i="1"/>
  <c r="R289" i="1"/>
  <c r="M295" i="1"/>
  <c r="L291" i="1"/>
  <c r="H292" i="1"/>
  <c r="P292" i="1"/>
  <c r="H287" i="1"/>
  <c r="H289" i="1"/>
  <c r="Q280" i="1"/>
  <c r="R286" i="1"/>
  <c r="I292" i="1"/>
  <c r="O280" i="1"/>
  <c r="H280" i="1"/>
  <c r="S278" i="1"/>
  <c r="O278" i="1"/>
  <c r="Q286" i="1"/>
  <c r="R284" i="1"/>
  <c r="R294" i="1"/>
  <c r="M282" i="1"/>
  <c r="J282" i="1"/>
  <c r="N280" i="1"/>
  <c r="L280" i="1"/>
  <c r="K283" i="1"/>
  <c r="I278" i="1"/>
  <c r="N278" i="1"/>
  <c r="N288" i="1"/>
  <c r="H291" i="1"/>
  <c r="I291" i="1"/>
  <c r="P286" i="1"/>
  <c r="L284" i="1"/>
  <c r="N284" i="1"/>
  <c r="R293" i="1"/>
  <c r="P294" i="1"/>
  <c r="I294" i="1"/>
  <c r="M292" i="1"/>
  <c r="Q287" i="1"/>
  <c r="R287" i="1"/>
  <c r="P289" i="1"/>
  <c r="H295" i="1"/>
  <c r="M280" i="1"/>
  <c r="S284" i="1"/>
  <c r="O292" i="1"/>
  <c r="H282" i="1"/>
  <c r="J280" i="1"/>
  <c r="H283" i="1"/>
  <c r="J283" i="1"/>
  <c r="H278" i="1"/>
  <c r="R288" i="1"/>
  <c r="M288" i="1"/>
  <c r="O291" i="1"/>
  <c r="J286" i="1"/>
  <c r="L286" i="1"/>
  <c r="H284" i="1"/>
  <c r="I284" i="1"/>
  <c r="K293" i="1"/>
  <c r="M294" i="1"/>
  <c r="O294" i="1"/>
  <c r="L292" i="1"/>
  <c r="L287" i="1"/>
  <c r="M289" i="1"/>
  <c r="L289" i="1"/>
  <c r="K295" i="1"/>
  <c r="K280" i="1"/>
  <c r="R292" i="1"/>
  <c r="S280" i="1"/>
  <c r="P278" i="1"/>
  <c r="K286" i="1"/>
  <c r="O286" i="1"/>
  <c r="K284" i="1"/>
  <c r="P284" i="1"/>
  <c r="L294" i="1"/>
  <c r="N294" i="1"/>
  <c r="J292" i="1"/>
  <c r="K287" i="1"/>
  <c r="N289" i="1"/>
  <c r="S289" i="1"/>
  <c r="R278" i="1"/>
  <c r="J278" i="1"/>
  <c r="Q278" i="1"/>
  <c r="H286" i="1"/>
  <c r="M286" i="1"/>
  <c r="M284" i="1"/>
  <c r="Q284" i="1"/>
  <c r="I282" i="1"/>
  <c r="O283" i="1"/>
  <c r="I283" i="1"/>
  <c r="Q288" i="1"/>
  <c r="N291" i="1"/>
  <c r="S286" i="1"/>
  <c r="O284" i="1"/>
  <c r="J293" i="1"/>
  <c r="N293" i="1"/>
  <c r="K294" i="1"/>
  <c r="K292" i="1"/>
  <c r="J287" i="1"/>
  <c r="J289" i="1"/>
  <c r="K289" i="1"/>
  <c r="J295" i="1"/>
  <c r="P287" i="1"/>
  <c r="Q289" i="1"/>
  <c r="N295" i="1"/>
  <c r="E224" i="1"/>
  <c r="E222" i="1"/>
  <c r="E225" i="1"/>
  <c r="E223" i="1"/>
  <c r="E201" i="1"/>
  <c r="E165" i="1"/>
  <c r="E189" i="1"/>
  <c r="E149" i="1"/>
  <c r="E153" i="1"/>
  <c r="E205" i="1"/>
  <c r="E141" i="1"/>
  <c r="E181" i="1"/>
  <c r="E193" i="1"/>
  <c r="E197" i="1"/>
  <c r="E173" i="1"/>
  <c r="E161" i="1"/>
  <c r="E177" i="1"/>
  <c r="E157" i="1"/>
  <c r="E209" i="1"/>
  <c r="E185" i="1"/>
  <c r="E145" i="1"/>
  <c r="E169" i="1"/>
  <c r="E206" i="1"/>
  <c r="E190" i="1"/>
  <c r="E146" i="1"/>
  <c r="E150" i="1"/>
  <c r="E178" i="1"/>
  <c r="E198" i="1"/>
  <c r="E186" i="1"/>
  <c r="E170" i="1"/>
  <c r="E182" i="1"/>
  <c r="E194" i="1"/>
  <c r="E210" i="1"/>
  <c r="E158" i="1"/>
  <c r="E202" i="1"/>
  <c r="E174" i="1"/>
  <c r="E154" i="1"/>
  <c r="E166" i="1"/>
  <c r="E162" i="1"/>
  <c r="E142" i="1"/>
  <c r="E160" i="1"/>
  <c r="E172" i="1"/>
  <c r="E140" i="1"/>
  <c r="E208" i="1"/>
  <c r="E144" i="1"/>
  <c r="E152" i="1"/>
  <c r="E148" i="1"/>
  <c r="E180" i="1"/>
  <c r="E184" i="1"/>
  <c r="E164" i="1"/>
  <c r="E156" i="1"/>
  <c r="E188" i="1"/>
  <c r="E176" i="1"/>
  <c r="E200" i="1"/>
  <c r="E168" i="1"/>
  <c r="E204" i="1"/>
  <c r="E192" i="1"/>
  <c r="E196" i="1"/>
  <c r="B38" i="19"/>
  <c r="S292" i="1" l="1"/>
  <c r="E237" i="1"/>
  <c r="Q54" i="19" s="1"/>
  <c r="E137" i="1"/>
  <c r="E229" i="1"/>
  <c r="E138" i="1"/>
  <c r="E233" i="1"/>
  <c r="E221" i="1"/>
  <c r="E218" i="1"/>
  <c r="E213" i="1"/>
  <c r="E217" i="1"/>
  <c r="E214" i="1"/>
  <c r="E187" i="1"/>
  <c r="E195" i="1"/>
  <c r="E207" i="1"/>
  <c r="E203" i="1"/>
  <c r="E179" i="1"/>
  <c r="E241" i="1" l="1"/>
  <c r="Q58" i="19" s="1"/>
  <c r="E231" i="1"/>
  <c r="E235" i="1"/>
  <c r="E239" i="1"/>
  <c r="Q56" i="19" s="1"/>
  <c r="E159" i="1"/>
  <c r="E171" i="1"/>
  <c r="E151" i="1"/>
  <c r="E155" i="1"/>
  <c r="E175" i="1"/>
  <c r="E199" i="1"/>
  <c r="E191" i="1"/>
  <c r="E183" i="1"/>
  <c r="E167" i="1"/>
  <c r="E163" i="1"/>
  <c r="E147" i="1"/>
  <c r="E143" i="1"/>
  <c r="E139" i="1"/>
  <c r="Q52" i="19" l="1"/>
  <c r="F229" i="1"/>
  <c r="F233" i="1"/>
  <c r="F231" i="1"/>
  <c r="G247" i="1"/>
  <c r="E227" i="1"/>
  <c r="F227" i="1" s="1"/>
  <c r="K245" i="1"/>
  <c r="P245" i="1"/>
  <c r="Q245" i="1"/>
  <c r="O245" i="1"/>
  <c r="N245" i="1"/>
  <c r="J245" i="1"/>
  <c r="M245" i="1"/>
  <c r="I245" i="1"/>
  <c r="S245" i="1"/>
  <c r="L245" i="1"/>
  <c r="R245" i="1"/>
  <c r="L63" i="19" l="1"/>
  <c r="P63" i="19" s="1"/>
  <c r="L61" i="19"/>
  <c r="P61" i="19" s="1"/>
  <c r="L62" i="19"/>
  <c r="P62" i="19" s="1"/>
  <c r="E244" i="1"/>
  <c r="Q62" i="19" l="1"/>
  <c r="E2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Круглова Юлия Вячеславовна</author>
  </authors>
  <commentList>
    <comment ref="C271" authorId="0" shapeId="0" xr:uid="{431287B1-1570-43FC-B841-07BD140AD788}">
      <text>
        <r>
          <rPr>
            <b/>
            <sz val="9"/>
            <color indexed="23"/>
            <rFont val="Tahoma"/>
            <family val="2"/>
            <charset val="204"/>
          </rPr>
          <t>Круглова Юлия Вячеславовна:</t>
        </r>
        <r>
          <rPr>
            <sz val="9"/>
            <color indexed="23"/>
            <rFont val="Tahoma"/>
            <family val="2"/>
            <charset val="204"/>
          </rPr>
          <t xml:space="preserve">
статья учитывается пока выполняются мероприятия по другим статьям расходов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DF3903-B7A2-4D16-AA2D-444F41C7FED7}" keepAlive="1" name="Запрос — Table 1" description="Соединение с запросом &quot;Table 1&quot; в книге." type="5" refreshedVersion="6" background="1" saveData="1">
    <dbPr connection="Provider=Microsoft.Mashup.OleDb.1;Data Source=$Workbook$;Location=Table 1;Extended Properties=&quot;&quot;" command="SELECT * FROM [Table 1]"/>
  </connection>
</connections>
</file>

<file path=xl/sharedStrings.xml><?xml version="1.0" encoding="utf-8"?>
<sst xmlns="http://schemas.openxmlformats.org/spreadsheetml/2006/main" count="781" uniqueCount="334">
  <si>
    <t>номер периода</t>
  </si>
  <si>
    <t>начало периода</t>
  </si>
  <si>
    <t>конец периода</t>
  </si>
  <si>
    <t>кол-во лет в периоде</t>
  </si>
  <si>
    <t>Предпосылки временной шкалы</t>
  </si>
  <si>
    <t>Дата начала анализа</t>
  </si>
  <si>
    <t>дата</t>
  </si>
  <si>
    <t>Макроэкономические предпосылки</t>
  </si>
  <si>
    <t>в среднем за период</t>
  </si>
  <si>
    <t>ИПЦ РФ</t>
  </si>
  <si>
    <t>% годовых</t>
  </si>
  <si>
    <t>в т.ч. накопленным итогом</t>
  </si>
  <si>
    <t>RUB</t>
  </si>
  <si>
    <t>AED</t>
  </si>
  <si>
    <t>USD</t>
  </si>
  <si>
    <t>ОАЭ</t>
  </si>
  <si>
    <t>Курсы валют</t>
  </si>
  <si>
    <t>Инфляция</t>
  </si>
  <si>
    <t>Анализ рынка продукта</t>
  </si>
  <si>
    <t>Адаптация продукта</t>
  </si>
  <si>
    <t>Подготовка рекламных материалов</t>
  </si>
  <si>
    <t>бухгалтер</t>
  </si>
  <si>
    <t>Продолжительность периода</t>
  </si>
  <si>
    <t>месяцев</t>
  </si>
  <si>
    <t>Поиск партнеров</t>
  </si>
  <si>
    <t>Бюджет на запуск проекта в валюте платежа</t>
  </si>
  <si>
    <t>Бюджет на запуск проекта в национальной валюте</t>
  </si>
  <si>
    <t>Расходы без учета НДС</t>
  </si>
  <si>
    <t>НДС</t>
  </si>
  <si>
    <t>Расходы с учетом НДС</t>
  </si>
  <si>
    <t>ставка НДС</t>
  </si>
  <si>
    <t>Выполнение НИОКР</t>
  </si>
  <si>
    <t>Сертификация продукта</t>
  </si>
  <si>
    <t>Создание сайта на языке страны экспорта</t>
  </si>
  <si>
    <t>командировочные расходы</t>
  </si>
  <si>
    <r>
      <t xml:space="preserve">Бюджет на запуск экспортного проекта
</t>
    </r>
    <r>
      <rPr>
        <sz val="10"/>
        <color theme="1"/>
        <rFont val="Calibri Light"/>
        <family val="2"/>
        <charset val="204"/>
        <scheme val="major"/>
      </rPr>
      <t>заполняются только соответствующие Вашему Проекту позиции</t>
    </r>
  </si>
  <si>
    <t>разработка технологического процесса изготовления</t>
  </si>
  <si>
    <t>разработка (корректировка) технической документации</t>
  </si>
  <si>
    <t>подбор, испытания образцов материалов, полуфабрикатов и приспособлений</t>
  </si>
  <si>
    <t>наименование и предназначение ОС</t>
  </si>
  <si>
    <t>валюта платежа</t>
  </si>
  <si>
    <t>"Пусковые" расходы</t>
  </si>
  <si>
    <t>Расходы на подготовку производства</t>
  </si>
  <si>
    <t>комментарий</t>
  </si>
  <si>
    <t>производственный персонал</t>
  </si>
  <si>
    <t>идентификация товаров согласно законодательству РФ</t>
  </si>
  <si>
    <t>идентификация товаров согласно законодательству страны экспорта</t>
  </si>
  <si>
    <t>идентификация применяемых мер тарифного и нетарифного регулирования</t>
  </si>
  <si>
    <t>доработка упаковки</t>
  </si>
  <si>
    <t>доработка состава/функциональных показателей продукта</t>
  </si>
  <si>
    <t>сегментация конкурентов</t>
  </si>
  <si>
    <t>переводчик</t>
  </si>
  <si>
    <t>юрист</t>
  </si>
  <si>
    <t>IT</t>
  </si>
  <si>
    <t>Закупка специализированного ПО</t>
  </si>
  <si>
    <t>Участие в выставках, конференциях, бизнес-миссиях</t>
  </si>
  <si>
    <t>технические и потребительские характеристики продуктов-аналогов</t>
  </si>
  <si>
    <t>схемы и условия получения платежа</t>
  </si>
  <si>
    <t>в валюте платежа с НДС</t>
  </si>
  <si>
    <t>статистика динамики продаж по целевым направлениям</t>
  </si>
  <si>
    <t>сумма с НДС</t>
  </si>
  <si>
    <t>диапазон ценового предложения по продуктам-аналогам</t>
  </si>
  <si>
    <t>анализ возможных логистических маршрутов</t>
  </si>
  <si>
    <t>организация рабочего пространства</t>
  </si>
  <si>
    <t>Аренда дополнительных основных средств</t>
  </si>
  <si>
    <t>доработка маркировки</t>
  </si>
  <si>
    <t>аренда мебели и оборудования</t>
  </si>
  <si>
    <t>оплата регистрационных сборов за участие</t>
  </si>
  <si>
    <t>аренда площади</t>
  </si>
  <si>
    <t>разработка дизайн-проекта экспозиции</t>
  </si>
  <si>
    <t>размещение информации в каталоге мероприятия</t>
  </si>
  <si>
    <t>подбор международной отраслевой выставки, конференции, бизнес-миссии</t>
  </si>
  <si>
    <t>поиск и подбор иностранных покупателей для направления приглашения</t>
  </si>
  <si>
    <t>организация доставки выставочных образцов</t>
  </si>
  <si>
    <t>услуги переводчика</t>
  </si>
  <si>
    <t>подготовка и перевод на английский язык и язык страны экспорта презентационных и других материалов</t>
  </si>
  <si>
    <t>транспортные расходы участников выставки</t>
  </si>
  <si>
    <t>расходы на проживание участников выставки</t>
  </si>
  <si>
    <t>монтаж и наладка оборудования</t>
  </si>
  <si>
    <t>предполагаемые каналы продажи</t>
  </si>
  <si>
    <t>изучение ожиданий покупателей по послепродажному сервису, допуслугам</t>
  </si>
  <si>
    <t>монтажно-демонтажные услуги, подключение к инженерным сетям</t>
  </si>
  <si>
    <t>Защита исключительных прав</t>
  </si>
  <si>
    <t>получение патента (изобретение, полезная модель, промышленный образец)</t>
  </si>
  <si>
    <t>пошлина для получения патента</t>
  </si>
  <si>
    <t>экспертиза заявки по критериям патентоспособности</t>
  </si>
  <si>
    <t>пошлина для получения свидетельства на средство индивидуализации</t>
  </si>
  <si>
    <t xml:space="preserve">подбор классов по международной классификации товаров и услуг </t>
  </si>
  <si>
    <t>подача (российской, международной, в стране экспорта) заявки</t>
  </si>
  <si>
    <t>экспертиза заявки на сходство с другими брендами</t>
  </si>
  <si>
    <t>получение свидетельства на средство индивидуализации</t>
  </si>
  <si>
    <t>анализ  (российской, международной, национальной в стране экспорта) патентной базы</t>
  </si>
  <si>
    <t>анализ  (российского, международного, национального в стране экспорта) реестра интеллектуальной собственности</t>
  </si>
  <si>
    <t>Адаптация продукта для внешнего рынка</t>
  </si>
  <si>
    <t>проектирование и конструирование нового продукта</t>
  </si>
  <si>
    <t>разработка технического задания</t>
  </si>
  <si>
    <t>испытания опытного образца (партии)</t>
  </si>
  <si>
    <t>установка средств технического контроля</t>
  </si>
  <si>
    <t>представительские расходы</t>
  </si>
  <si>
    <t>подбор наглядных примеров</t>
  </si>
  <si>
    <t>разработка структуры и дизайна</t>
  </si>
  <si>
    <t>верстка и программирование</t>
  </si>
  <si>
    <t>размещение на хостинге</t>
  </si>
  <si>
    <t>разработка адаптивной верстки для мобильных устройств</t>
  </si>
  <si>
    <t>регистрация домена</t>
  </si>
  <si>
    <t>тестирование, оптимизация</t>
  </si>
  <si>
    <t>интеграция с системой учета, торговыми площадками, CRM</t>
  </si>
  <si>
    <t>функционал сотрудника</t>
  </si>
  <si>
    <t>Тестовая партия (испытания, рекламные акции)</t>
  </si>
  <si>
    <t>Тестовая партия</t>
  </si>
  <si>
    <t>испытания</t>
  </si>
  <si>
    <t>рекламные акции</t>
  </si>
  <si>
    <t>подготовка контента (тексты, фото, видео и пр.)</t>
  </si>
  <si>
    <t>уличные баннеры и растяжки</t>
  </si>
  <si>
    <t>рекламные ролики, видеопрезентации</t>
  </si>
  <si>
    <t>листовки, флаеры, буклеты, брошюры, календари</t>
  </si>
  <si>
    <t>размещение тематических статей о товаре</t>
  </si>
  <si>
    <t>подготовка уставных документов</t>
  </si>
  <si>
    <t>получение налогового номера</t>
  </si>
  <si>
    <t>регистрация в торговой палате</t>
  </si>
  <si>
    <t>регистрация юридического адреса</t>
  </si>
  <si>
    <t>подбор зон со специальным налоговым режимом</t>
  </si>
  <si>
    <t>подбор банков для открытия корпоративного счета</t>
  </si>
  <si>
    <t>получение водительских прав, медстраховки</t>
  </si>
  <si>
    <t>подбор лицензий и сертификатов под вид бизнеса</t>
  </si>
  <si>
    <t>получение ВНЖ, оформление рабочих виз</t>
  </si>
  <si>
    <t>подбор организационно-правовой формы</t>
  </si>
  <si>
    <t>Создание юридического лица, открытие р/с</t>
  </si>
  <si>
    <t>документооборот валютного контроля</t>
  </si>
  <si>
    <t>международные валютные платежи</t>
  </si>
  <si>
    <t>программы для таможенного оформления</t>
  </si>
  <si>
    <t>оформление и отслеживание грузов</t>
  </si>
  <si>
    <t>инженерно-технический персонал</t>
  </si>
  <si>
    <t>руководитель проекта</t>
  </si>
  <si>
    <t>Услуги по найму дополнительного персонала</t>
  </si>
  <si>
    <t>Закупка основных средств: помещение</t>
  </si>
  <si>
    <t>Закупка основных средств: оборудование</t>
  </si>
  <si>
    <t>Закупка основных средств: земельный участок</t>
  </si>
  <si>
    <t>доработка дизайна/внешнего вида/типоразмера продукта</t>
  </si>
  <si>
    <t>проверка:</t>
  </si>
  <si>
    <t>НИОКР</t>
  </si>
  <si>
    <t>Аренда основных средств на стадии подготовки проекта</t>
  </si>
  <si>
    <t>Закупка специализированного программного обеспечения</t>
  </si>
  <si>
    <t>проект:</t>
  </si>
  <si>
    <t>предполагаемая сумма платежа
с учетом НДС</t>
  </si>
  <si>
    <t>площадь/кадастровый номер</t>
  </si>
  <si>
    <t>наименование и предназначение ОС (код ТН ВЭД при импорте)</t>
  </si>
  <si>
    <t>площадь и предназначение</t>
  </si>
  <si>
    <t>Защита исключительных прав: патент/торговая марка</t>
  </si>
  <si>
    <t>контент в соцсетях</t>
  </si>
  <si>
    <t>Инфляция в расчет</t>
  </si>
  <si>
    <t>↨  добавьте строки при необходимости</t>
  </si>
  <si>
    <t>Пусковые расходы</t>
  </si>
  <si>
    <t>Производственный персонал:</t>
  </si>
  <si>
    <t>Непроизводственный персонал:</t>
  </si>
  <si>
    <t>наличие мер поддержки (субсидии, таможенные режимы, СЭЗ и пр.)</t>
  </si>
  <si>
    <t>конец раздела</t>
  </si>
  <si>
    <t>на данный момент конкретное мероприятие не определено</t>
  </si>
  <si>
    <t>предполагаемый график расходов</t>
  </si>
  <si>
    <t xml:space="preserve">Целевая страна --&gt;&gt;  </t>
  </si>
  <si>
    <t xml:space="preserve">Дата начала анализа --&gt;&gt;  </t>
  </si>
  <si>
    <t xml:space="preserve">Используемые в целях прогноза валюты --&gt;&gt;  </t>
  </si>
  <si>
    <t>Количество периодов прогноза</t>
  </si>
  <si>
    <t>% за период</t>
  </si>
  <si>
    <t>Ранжирование и временная шкала</t>
  </si>
  <si>
    <t>Временная шкала и валютная структура расходов</t>
  </si>
  <si>
    <t>структура валют в пересчете на рубли по курсу</t>
  </si>
  <si>
    <t>структура непосредственно в валюте платежа</t>
  </si>
  <si>
    <t xml:space="preserve"> --&gt;&gt;&gt;</t>
  </si>
  <si>
    <t>НАЗВАНИЕ ПРОЕКТА</t>
  </si>
  <si>
    <t>см</t>
  </si>
  <si>
    <t>Вы можете учесть инфляцию валют т.к. даже если курс будет принят неизменным есть риск увеличения расходов номинально</t>
  </si>
  <si>
    <t>контакт:</t>
  </si>
  <si>
    <r>
      <rPr>
        <sz val="11"/>
        <color theme="5" tint="-0.249977111117893"/>
        <rFont val="Calibri"/>
        <family val="2"/>
        <charset val="204"/>
        <scheme val="minor"/>
      </rPr>
      <t>Ранжируем</t>
    </r>
    <r>
      <rPr>
        <sz val="11"/>
        <color rgb="FF8086A0"/>
        <rFont val="Calibri"/>
        <family val="2"/>
        <charset val="204"/>
        <scheme val="minor"/>
      </rPr>
      <t xml:space="preserve"> планируемые затраты по значимости</t>
    </r>
  </si>
  <si>
    <r>
      <t xml:space="preserve">Исходя из валюты платежей оцениваем </t>
    </r>
    <r>
      <rPr>
        <sz val="11"/>
        <color theme="5" tint="-0.249977111117893"/>
        <rFont val="Calibri"/>
        <family val="2"/>
        <charset val="204"/>
        <scheme val="minor"/>
      </rPr>
      <t>влияние валютного риска</t>
    </r>
  </si>
  <si>
    <r>
      <t xml:space="preserve">Исходя из временной шкалы расходов планируем </t>
    </r>
    <r>
      <rPr>
        <sz val="11"/>
        <color theme="5" tint="-0.249977111117893"/>
        <rFont val="Calibri"/>
        <family val="2"/>
        <charset val="204"/>
        <scheme val="minor"/>
      </rPr>
      <t>источники финансирования</t>
    </r>
  </si>
  <si>
    <r>
      <t xml:space="preserve">Что </t>
    </r>
    <r>
      <rPr>
        <b/>
        <sz val="11"/>
        <color theme="5" tint="-0.249977111117893"/>
        <rFont val="Calibri"/>
        <family val="2"/>
        <charset val="204"/>
        <scheme val="minor"/>
      </rPr>
      <t>нужно сделать</t>
    </r>
    <r>
      <rPr>
        <sz val="11"/>
        <color rgb="FF8086A0"/>
        <rFont val="Calibri"/>
        <family val="2"/>
        <charset val="204"/>
        <scheme val="minor"/>
      </rPr>
      <t xml:space="preserve"> чтобы инструмент заработал?</t>
    </r>
  </si>
  <si>
    <r>
      <t xml:space="preserve">Давайте дадим </t>
    </r>
    <r>
      <rPr>
        <sz val="11"/>
        <color theme="5" tint="-0.249977111117893"/>
        <rFont val="Calibri"/>
        <family val="2"/>
        <charset val="204"/>
        <scheme val="minor"/>
      </rPr>
      <t>название нашему Проекту</t>
    </r>
  </si>
  <si>
    <r>
      <t xml:space="preserve">Можем ли мы обозначить </t>
    </r>
    <r>
      <rPr>
        <sz val="11"/>
        <color theme="5" tint="-0.249977111117893"/>
        <rFont val="Calibri"/>
        <family val="2"/>
        <charset val="204"/>
        <scheme val="minor"/>
      </rPr>
      <t>целевую страну</t>
    </r>
    <r>
      <rPr>
        <sz val="11"/>
        <color rgb="FF8086A0"/>
        <rFont val="Calibri"/>
        <family val="2"/>
        <charset val="204"/>
        <scheme val="minor"/>
      </rPr>
      <t xml:space="preserve"> экспорта?</t>
    </r>
  </si>
  <si>
    <r>
      <rPr>
        <sz val="11"/>
        <color theme="5" tint="-0.249977111117893"/>
        <rFont val="Calibri"/>
        <family val="2"/>
        <charset val="204"/>
        <scheme val="minor"/>
      </rPr>
      <t>продукт новый</t>
    </r>
    <r>
      <rPr>
        <sz val="11"/>
        <color rgb="FF8086A0"/>
        <rFont val="Calibri"/>
        <family val="2"/>
        <charset val="204"/>
        <scheme val="minor"/>
      </rPr>
      <t xml:space="preserve"> цена на старте </t>
    </r>
    <r>
      <rPr>
        <sz val="14"/>
        <color theme="5" tint="-0.249977111117893"/>
        <rFont val="Calibri"/>
        <family val="2"/>
        <charset val="204"/>
        <scheme val="minor"/>
      </rPr>
      <t>200 тысяч рублей</t>
    </r>
    <r>
      <rPr>
        <sz val="11"/>
        <color rgb="FF8086A0"/>
        <rFont val="Calibri"/>
        <family val="2"/>
        <charset val="204"/>
        <scheme val="minor"/>
      </rPr>
      <t xml:space="preserve"> (без учета НДС)</t>
    </r>
  </si>
  <si>
    <t>валютный риск?</t>
  </si>
  <si>
    <t>доля</t>
  </si>
  <si>
    <t>как может измениться бюджет</t>
  </si>
  <si>
    <t>ожидаемое изм курса за период?</t>
  </si>
  <si>
    <t>ячейки для ввода данных</t>
  </si>
  <si>
    <r>
      <t xml:space="preserve">У валюты есть текущий курс который можно заложить на предстоящий период в 12 месяцев </t>
    </r>
    <r>
      <rPr>
        <sz val="11"/>
        <color theme="5" tint="-0.249977111117893"/>
        <rFont val="Calibri"/>
        <family val="2"/>
        <charset val="204"/>
        <scheme val="minor"/>
      </rPr>
      <t>ИЛИ</t>
    </r>
    <r>
      <rPr>
        <b/>
        <sz val="11"/>
        <color theme="5" tint="-0.249977111117893"/>
        <rFont val="Calibri"/>
        <family val="2"/>
        <charset val="204"/>
        <scheme val="minor"/>
      </rPr>
      <t xml:space="preserve"> </t>
    </r>
    <r>
      <rPr>
        <sz val="11"/>
        <color rgb="FF8086A0"/>
        <rFont val="Calibri"/>
        <family val="2"/>
        <charset val="204"/>
        <scheme val="minor"/>
      </rPr>
      <t>у вас может быть видение прогноза (?)</t>
    </r>
  </si>
  <si>
    <r>
      <t xml:space="preserve">предполагаемая цена единицы продукта </t>
    </r>
    <r>
      <rPr>
        <sz val="10"/>
        <color theme="5" tint="-0.249977111117893"/>
        <rFont val="Calibri"/>
        <family val="2"/>
        <charset val="204"/>
        <scheme val="minor"/>
      </rPr>
      <t>на условиях Ex Works</t>
    </r>
  </si>
  <si>
    <r>
      <t xml:space="preserve">предполагаемая контрактная цена единицы продукта исходя из </t>
    </r>
    <r>
      <rPr>
        <sz val="10"/>
        <color theme="5" tint="-0.249977111117893"/>
        <rFont val="Calibri"/>
        <family val="2"/>
        <charset val="204"/>
        <scheme val="minor"/>
      </rPr>
      <t>базиса поставки</t>
    </r>
  </si>
  <si>
    <r>
      <t xml:space="preserve">предполагаемая </t>
    </r>
    <r>
      <rPr>
        <sz val="10"/>
        <color theme="5" tint="-0.249977111117893"/>
        <rFont val="Calibri"/>
        <family val="2"/>
        <charset val="204"/>
        <scheme val="minor"/>
      </rPr>
      <t>конечная (выходная) цена на целевом рынке</t>
    </r>
  </si>
  <si>
    <r>
      <t xml:space="preserve">предоставить прогнозные </t>
    </r>
    <r>
      <rPr>
        <sz val="10"/>
        <color theme="5" tint="-0.249977111117893"/>
        <rFont val="Calibri"/>
        <family val="2"/>
        <charset val="204"/>
        <scheme val="minor"/>
      </rPr>
      <t>отчетные формы</t>
    </r>
    <r>
      <rPr>
        <sz val="10"/>
        <color rgb="FF8086A0"/>
        <rFont val="Calibri"/>
        <family val="2"/>
        <charset val="204"/>
        <scheme val="minor"/>
      </rPr>
      <t xml:space="preserve"> для облегчения мониторинга</t>
    </r>
  </si>
  <si>
    <r>
      <t xml:space="preserve">полноценную </t>
    </r>
    <r>
      <rPr>
        <sz val="11"/>
        <color theme="5" tint="-0.249977111117893"/>
        <rFont val="Calibri"/>
        <family val="2"/>
        <charset val="204"/>
        <scheme val="minor"/>
      </rPr>
      <t>финансовую модель Проекта по выходу на внешний рынок</t>
    </r>
  </si>
  <si>
    <t>Букв. код</t>
  </si>
  <si>
    <t>AUD</t>
  </si>
  <si>
    <t>AZN</t>
  </si>
  <si>
    <t>AMD</t>
  </si>
  <si>
    <t>BYN</t>
  </si>
  <si>
    <t>BGN</t>
  </si>
  <si>
    <t>BRL</t>
  </si>
  <si>
    <t>HUF</t>
  </si>
  <si>
    <t>KRW</t>
  </si>
  <si>
    <t>VND</t>
  </si>
  <si>
    <t>HKD</t>
  </si>
  <si>
    <t>GEL</t>
  </si>
  <si>
    <t>DKK</t>
  </si>
  <si>
    <t>EUR</t>
  </si>
  <si>
    <t>EGP</t>
  </si>
  <si>
    <t>INR</t>
  </si>
  <si>
    <t>IDR</t>
  </si>
  <si>
    <t>KZT</t>
  </si>
  <si>
    <t>CAD</t>
  </si>
  <si>
    <t>QAR</t>
  </si>
  <si>
    <t>KGS</t>
  </si>
  <si>
    <t>CNY</t>
  </si>
  <si>
    <t>MDL</t>
  </si>
  <si>
    <t>NZD</t>
  </si>
  <si>
    <t>TMT</t>
  </si>
  <si>
    <t>NOK</t>
  </si>
  <si>
    <t>PLN</t>
  </si>
  <si>
    <t>RON</t>
  </si>
  <si>
    <t>XDR</t>
  </si>
  <si>
    <t>RSD</t>
  </si>
  <si>
    <t>SGD</t>
  </si>
  <si>
    <t>TJS</t>
  </si>
  <si>
    <t>THB</t>
  </si>
  <si>
    <t>TRY</t>
  </si>
  <si>
    <t>UZS</t>
  </si>
  <si>
    <t>UAH</t>
  </si>
  <si>
    <t>GBP</t>
  </si>
  <si>
    <t>CZK</t>
  </si>
  <si>
    <t>SEK</t>
  </si>
  <si>
    <t>CHF</t>
  </si>
  <si>
    <t>ZAR</t>
  </si>
  <si>
    <t>JPY</t>
  </si>
  <si>
    <t>Валюта</t>
  </si>
  <si>
    <t>Австралийский доллар</t>
  </si>
  <si>
    <t>Азербайджанский манат</t>
  </si>
  <si>
    <t>Армянских драмов</t>
  </si>
  <si>
    <t>Белорусский рубль</t>
  </si>
  <si>
    <t>Болгарский лев</t>
  </si>
  <si>
    <t>Бразильский реал</t>
  </si>
  <si>
    <t>Венгерских форинтов</t>
  </si>
  <si>
    <t>Вон Республики Корея</t>
  </si>
  <si>
    <t>Вьетнамских донгов</t>
  </si>
  <si>
    <t>Гонконгский доллар</t>
  </si>
  <si>
    <t>Грузинский лари</t>
  </si>
  <si>
    <t>Датская крона</t>
  </si>
  <si>
    <t>Дирхам ОАЭ</t>
  </si>
  <si>
    <t>Доллар США</t>
  </si>
  <si>
    <t>Евро</t>
  </si>
  <si>
    <t>Египетских фунтов</t>
  </si>
  <si>
    <t>Индийских рупий</t>
  </si>
  <si>
    <t>Индонезийских рупий</t>
  </si>
  <si>
    <t>Казахстанских тенге</t>
  </si>
  <si>
    <t>Канадский доллар</t>
  </si>
  <si>
    <t>Катарский риал</t>
  </si>
  <si>
    <t>Киргизских сомов</t>
  </si>
  <si>
    <t>Китайский юань</t>
  </si>
  <si>
    <t>Молдавских леев</t>
  </si>
  <si>
    <t>Новозеландский доллар</t>
  </si>
  <si>
    <t>Новый туркменский манат</t>
  </si>
  <si>
    <t>Норвежских крон</t>
  </si>
  <si>
    <t>Польский злотый</t>
  </si>
  <si>
    <t>Румынский лей</t>
  </si>
  <si>
    <t>СДР (специальные права заимствования)</t>
  </si>
  <si>
    <t>Сербских динаров</t>
  </si>
  <si>
    <t>Сингапурский доллар</t>
  </si>
  <si>
    <t>Таджикских сомони</t>
  </si>
  <si>
    <t>Таиландских батов</t>
  </si>
  <si>
    <t>Турецких лир</t>
  </si>
  <si>
    <t>Узбекских сумов</t>
  </si>
  <si>
    <t>Украинских гривен</t>
  </si>
  <si>
    <t>Фунт стерлингов Соединенного королевства</t>
  </si>
  <si>
    <t>Чешских крон</t>
  </si>
  <si>
    <t>Шведских крон</t>
  </si>
  <si>
    <t>Швейцарский франк</t>
  </si>
  <si>
    <t>Южноафриканских рэндов</t>
  </si>
  <si>
    <t>Японских иен</t>
  </si>
  <si>
    <t>Цифр. код</t>
  </si>
  <si>
    <t>Единиц</t>
  </si>
  <si>
    <t>Курс</t>
  </si>
  <si>
    <r>
      <rPr>
        <b/>
        <sz val="11"/>
        <color theme="5" tint="-0.249977111117893"/>
        <rFont val="Calibri"/>
        <family val="2"/>
        <charset val="204"/>
        <scheme val="minor"/>
      </rPr>
      <t>Чем</t>
    </r>
    <r>
      <rPr>
        <sz val="11"/>
        <color rgb="FF8086A0"/>
        <rFont val="Calibri"/>
        <family val="2"/>
        <charset val="204"/>
        <scheme val="minor"/>
      </rPr>
      <t xml:space="preserve"> такой Бюджет может помочь?</t>
    </r>
  </si>
  <si>
    <t>Доброго дня!</t>
  </si>
  <si>
    <r>
      <t xml:space="preserve">Представляем Вам  инструмент для </t>
    </r>
    <r>
      <rPr>
        <b/>
        <sz val="11"/>
        <color theme="5" tint="-0.249977111117893"/>
        <rFont val="Calibri"/>
        <family val="2"/>
        <charset val="204"/>
        <scheme val="minor"/>
      </rPr>
      <t>прогнозирования Бюджета</t>
    </r>
    <r>
      <rPr>
        <sz val="11"/>
        <color rgb="FF8086A0"/>
        <rFont val="Calibri"/>
        <family val="2"/>
        <charset val="204"/>
        <scheme val="minor"/>
      </rPr>
      <t xml:space="preserve"> выхода на внешний рынок</t>
    </r>
  </si>
  <si>
    <r>
      <t xml:space="preserve">Определяем </t>
    </r>
    <r>
      <rPr>
        <sz val="11"/>
        <color theme="5" tint="-0.249977111117893"/>
        <rFont val="Calibri"/>
        <family val="2"/>
        <charset val="204"/>
        <scheme val="minor"/>
      </rPr>
      <t>состав необходимых мероприятий</t>
    </r>
    <r>
      <rPr>
        <sz val="11"/>
        <color rgb="FF8086A0"/>
        <rFont val="Calibri"/>
        <family val="2"/>
        <charset val="204"/>
        <scheme val="minor"/>
      </rPr>
      <t xml:space="preserve"> с графиком их выполнения</t>
    </r>
  </si>
  <si>
    <t>Рубль РФ</t>
  </si>
  <si>
    <t>шаг</t>
  </si>
  <si>
    <r>
      <t xml:space="preserve">Если  </t>
    </r>
    <r>
      <rPr>
        <b/>
        <sz val="12"/>
        <color theme="5" tint="-0.249977111117893"/>
        <rFont val="Calibri"/>
        <family val="2"/>
        <charset val="204"/>
        <scheme val="minor"/>
      </rPr>
      <t>ДА</t>
    </r>
    <r>
      <rPr>
        <sz val="11"/>
        <color rgb="FF8086A0"/>
        <rFont val="Calibri"/>
        <family val="2"/>
        <charset val="204"/>
        <scheme val="minor"/>
      </rPr>
      <t xml:space="preserve">  мы делаем предположение о </t>
    </r>
    <r>
      <rPr>
        <sz val="11"/>
        <color theme="5" tint="-0.249977111117893"/>
        <rFont val="Calibri"/>
        <family val="2"/>
        <charset val="204"/>
        <scheme val="minor"/>
      </rPr>
      <t>составе валют</t>
    </r>
    <r>
      <rPr>
        <sz val="11"/>
        <color rgb="FF8086A0"/>
        <rFont val="Calibri"/>
        <family val="2"/>
        <charset val="204"/>
        <scheme val="minor"/>
      </rPr>
      <t xml:space="preserve"> предстоящих расходов</t>
    </r>
  </si>
  <si>
    <t>модель предполагает пересчет всех платежей в рубли --&gt;&gt;  рубли нужны!</t>
  </si>
  <si>
    <t xml:space="preserve">выбор --&gt;&gt;  </t>
  </si>
  <si>
    <t>Автоматически обновляемый справочник текущего курса</t>
  </si>
  <si>
    <r>
      <t xml:space="preserve">ДАННЫЕ </t>
    </r>
    <r>
      <rPr>
        <sz val="16"/>
        <color theme="5" tint="-0.249977111117893"/>
        <rFont val="Calibri"/>
        <family val="2"/>
        <charset val="204"/>
        <scheme val="minor"/>
      </rPr>
      <t>---&gt;&gt;&gt; команда ОБНОВИТЬ ВСЕ</t>
    </r>
  </si>
  <si>
    <t>Предполагаемый курс на периоде прогноза --&gt;&gt;  можете оставить по текущему курсу или указать с учетом Ваших предположений</t>
  </si>
  <si>
    <r>
      <t xml:space="preserve">… </t>
    </r>
    <r>
      <rPr>
        <sz val="11"/>
        <color theme="5" tint="-0.249977111117893"/>
        <rFont val="Calibri"/>
        <family val="2"/>
        <charset val="204"/>
        <scheme val="minor"/>
      </rPr>
      <t>и последнее</t>
    </r>
    <r>
      <rPr>
        <sz val="11"/>
        <color rgb="FF8086A0"/>
        <rFont val="Calibri"/>
        <family val="2"/>
        <charset val="204"/>
        <scheme val="minor"/>
      </rPr>
      <t>. Можем ли мы сделать предположение о "наборе" мероприятий с целью наладить экспорт?</t>
    </r>
  </si>
  <si>
    <t>Каджемонян Александр Аркадьевич</t>
  </si>
  <si>
    <t>Kadzhemonyan@exportcenter.ru</t>
  </si>
  <si>
    <t>&lt;&lt; --  по крайней мере таков консервативный прогноз среднегодового курса /апрель 2024/</t>
  </si>
  <si>
    <r>
      <t xml:space="preserve">Если  </t>
    </r>
    <r>
      <rPr>
        <b/>
        <sz val="11"/>
        <color theme="5" tint="-0.249977111117893"/>
        <rFont val="Calibri"/>
        <family val="2"/>
        <charset val="204"/>
        <scheme val="minor"/>
      </rPr>
      <t>ДА</t>
    </r>
    <r>
      <rPr>
        <sz val="11"/>
        <color rgb="FF8086A0"/>
        <rFont val="Calibri"/>
        <family val="2"/>
        <charset val="204"/>
        <scheme val="minor"/>
      </rPr>
      <t xml:space="preserve">  мы предлагаем выбрать их из имеющегося списка который мы постарались сделать максимально удобным</t>
    </r>
  </si>
  <si>
    <t>…</t>
  </si>
  <si>
    <t>характеристики продуктов-аналогов</t>
  </si>
  <si>
    <t xml:space="preserve">и т.д. по ссылке  --&gt;&gt;  </t>
  </si>
  <si>
    <t>сумма платежа
с учетом НДС</t>
  </si>
  <si>
    <r>
      <t xml:space="preserve">Бюджет на запуск экспортного проекта
</t>
    </r>
    <r>
      <rPr>
        <sz val="7"/>
        <color rgb="FF4F5469"/>
        <rFont val="Calibri Light"/>
        <family val="2"/>
        <charset val="204"/>
        <scheme val="major"/>
      </rPr>
      <t>заполняются только соответствующие Вашему Проекту позиции</t>
    </r>
  </si>
  <si>
    <t>+7 (495) 937-47-47 доб. 2819</t>
  </si>
  <si>
    <r>
      <t xml:space="preserve">предложить </t>
    </r>
    <r>
      <rPr>
        <sz val="10"/>
        <color theme="5" tint="-0.249977111117893"/>
        <rFont val="Calibri"/>
        <family val="2"/>
        <charset val="204"/>
        <scheme val="minor"/>
      </rPr>
      <t>3 варианта финансирования проекта</t>
    </r>
  </si>
  <si>
    <t>Рады ЕСЛИ смогли Вам помочь !</t>
  </si>
  <si>
    <t>График расходов на подготовку проекта с ранжированием по статьям</t>
  </si>
  <si>
    <t>Бюджет на запуск экспортного проекта с графиком расходов</t>
  </si>
  <si>
    <t>СТАРТУЕМ ?</t>
  </si>
  <si>
    <t>выполнение отдельных операций / услуг</t>
  </si>
  <si>
    <t>График задействования персонала и оплаты труда (с учетом взносов, если применимо)</t>
  </si>
  <si>
    <t>Услуги сторонних организаций:</t>
  </si>
  <si>
    <t>Создание/приобретение юридического лица, открытие счета</t>
  </si>
  <si>
    <t>Оплата труда персонала и услуг сторонних организаций</t>
  </si>
  <si>
    <t>В ИТОГЕ</t>
  </si>
  <si>
    <t>В итоге</t>
  </si>
  <si>
    <t>максимум ---&gt;&gt;</t>
  </si>
  <si>
    <t>ИТОГО с учетом НДС:</t>
  </si>
  <si>
    <r>
      <t xml:space="preserve">ИТОГО  </t>
    </r>
    <r>
      <rPr>
        <sz val="9"/>
        <color theme="5" tint="-0.249977111117893"/>
        <rFont val="Arial Narrow"/>
        <family val="2"/>
        <charset val="204"/>
      </rPr>
      <t>с учетом НДС</t>
    </r>
    <r>
      <rPr>
        <b/>
        <sz val="11"/>
        <color theme="5" tint="-0.249977111117893"/>
        <rFont val="Arial Narrow"/>
        <family val="2"/>
        <charset val="204"/>
      </rPr>
      <t>:</t>
    </r>
  </si>
  <si>
    <t xml:space="preserve">Общая продолжительность подготовительного этапа Проекта - </t>
  </si>
  <si>
    <r>
      <t xml:space="preserve">ИТОГО </t>
    </r>
    <r>
      <rPr>
        <sz val="10"/>
        <color rgb="FF8086A0"/>
        <rFont val="Arial Narrow"/>
        <family val="2"/>
        <charset val="204"/>
      </rPr>
      <t>с учетом НДС</t>
    </r>
    <r>
      <rPr>
        <b/>
        <sz val="12"/>
        <color rgb="FF8086A0"/>
        <rFont val="Arial Narrow"/>
        <family val="2"/>
        <charset val="204"/>
      </rPr>
      <t>:</t>
    </r>
  </si>
  <si>
    <t>В результате</t>
  </si>
  <si>
    <t>сертификат GMP</t>
  </si>
  <si>
    <t>сертификат ISO 9001</t>
  </si>
  <si>
    <t>сертификат ISO 14001</t>
  </si>
  <si>
    <t>сертификат ISO 22000</t>
  </si>
  <si>
    <t>сертификат Халяль</t>
  </si>
  <si>
    <t>Сертификация</t>
  </si>
  <si>
    <r>
      <rPr>
        <b/>
        <sz val="11"/>
        <color theme="5" tint="-0.249977111117893"/>
        <rFont val="Calibri"/>
        <family val="2"/>
        <charset val="204"/>
        <scheme val="minor"/>
      </rPr>
      <t>ЕСЛИ</t>
    </r>
    <r>
      <rPr>
        <sz val="11"/>
        <color rgb="FF8086A0"/>
        <rFont val="Calibri"/>
        <family val="2"/>
        <charset val="204"/>
        <scheme val="minor"/>
      </rPr>
      <t xml:space="preserve"> вы одобряете наш подход к планированию </t>
    </r>
    <r>
      <rPr>
        <sz val="11"/>
        <color theme="5" tint="-0.249977111117893"/>
        <rFont val="Calibri"/>
        <family val="2"/>
        <charset val="204"/>
        <scheme val="minor"/>
      </rPr>
      <t xml:space="preserve">--&gt;&gt; </t>
    </r>
    <r>
      <rPr>
        <sz val="11"/>
        <color rgb="FF8086A0"/>
        <rFont val="Calibri"/>
        <family val="2"/>
        <charset val="204"/>
        <scheme val="minor"/>
      </rPr>
      <t xml:space="preserve"> предлагаем заполнить </t>
    </r>
    <r>
      <rPr>
        <sz val="12"/>
        <color theme="5" tint="-0.249977111117893"/>
        <rFont val="Calibri"/>
        <family val="2"/>
        <charset val="204"/>
        <scheme val="minor"/>
      </rPr>
      <t xml:space="preserve">еще </t>
    </r>
    <r>
      <rPr>
        <sz val="14"/>
        <color theme="5" tint="-0.249977111117893"/>
        <rFont val="Calibri"/>
        <family val="2"/>
        <charset val="204"/>
        <scheme val="minor"/>
      </rPr>
      <t xml:space="preserve">2 </t>
    </r>
    <r>
      <rPr>
        <sz val="11"/>
        <color theme="5" tint="-0.249977111117893"/>
        <rFont val="Calibri"/>
        <family val="2"/>
        <charset val="204"/>
        <scheme val="minor"/>
      </rPr>
      <t>вводные формы</t>
    </r>
    <r>
      <rPr>
        <sz val="11"/>
        <color rgb="FF8086A0"/>
        <rFont val="Calibri"/>
        <family val="2"/>
        <charset val="204"/>
        <scheme val="minor"/>
      </rPr>
      <t xml:space="preserve"> и получить в результате</t>
    </r>
  </si>
  <si>
    <r>
      <t xml:space="preserve">если </t>
    </r>
    <r>
      <rPr>
        <b/>
        <sz val="11"/>
        <color theme="5" tint="-0.249977111117893"/>
        <rFont val="Calibri"/>
        <family val="2"/>
        <charset val="204"/>
        <scheme val="minor"/>
      </rPr>
      <t>ДА</t>
    </r>
    <r>
      <rPr>
        <sz val="10"/>
        <color rgb="FF8086A0"/>
        <rFont val="Calibri"/>
        <family val="2"/>
        <charset val="204"/>
        <scheme val="minor"/>
      </rPr>
      <t xml:space="preserve"> мы можем оценить </t>
    </r>
    <r>
      <rPr>
        <sz val="10"/>
        <color theme="5" tint="-0.249977111117893"/>
        <rFont val="Calibri"/>
        <family val="2"/>
        <charset val="204"/>
        <scheme val="minor"/>
      </rPr>
      <t>срок окупаемости проекта/требуемый объем продаж</t>
    </r>
  </si>
  <si>
    <t>e-Mail:</t>
  </si>
  <si>
    <t>рабочий тел:</t>
  </si>
  <si>
    <t>Продуктовый офис ГРУППЫ РЭЦ</t>
  </si>
  <si>
    <t>ячейки отражают стадию процесса</t>
  </si>
  <si>
    <t>ячейки изменять не нужно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</si>
</sst>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\ _₽_-;\-* #,##0\ _₽_-;_-* &quot;-&quot;\ _₽_-;_-@_-"/>
    <numFmt numFmtId="164" formatCode="#,##0;[Black]\(#,##0\);\-"/>
    <numFmt numFmtId="165" formatCode="#,##0;\(#,##0\);\-"/>
    <numFmt numFmtId="166" formatCode="###0;\(###0\);\-"/>
    <numFmt numFmtId="167" formatCode="###0.0;\(###0.0\);\-"/>
    <numFmt numFmtId="168" formatCode="0.0%"/>
    <numFmt numFmtId="169" formatCode="#,##0.0%;\(#,##0.0%\);\-"/>
    <numFmt numFmtId="170" formatCode="#,##0%;\(#,##0%\);\-"/>
    <numFmt numFmtId="171" formatCode="#,##0.0;\(#,##0.0\);\-"/>
    <numFmt numFmtId="172" formatCode="[$-419]mmmm;@"/>
    <numFmt numFmtId="173" formatCode="_-* #,##0\ _₽_-;\-* #,##0\ _₽_-;_-* &quot;-&quot;??\ _₽_-;_-@_-"/>
    <numFmt numFmtId="174" formatCode="[$-F800]dddd\,\ mmmm\ dd\,\ yyyy"/>
    <numFmt numFmtId="175" formatCode="#,##0&quot; мес&quot;"/>
    <numFmt numFmtId="176" formatCode="#,##0&quot; RUB&quot;"/>
    <numFmt numFmtId="177" formatCode="&quot;ежемесячно &quot;#,##0;\(#,##0\);\-"/>
    <numFmt numFmtId="178" formatCode="\+0.0%;\-0.0%;0.0%"/>
    <numFmt numFmtId="179" formatCode="[$-419]mmm\ yy;@"/>
    <numFmt numFmtId="180" formatCode="&quot;~&quot;0.0000%"/>
    <numFmt numFmtId="181" formatCode="&quot;~ &quot;0.0%&quot;  за год&quot;"/>
    <numFmt numFmtId="182" formatCode="#,##0\ &quot;₽&quot;"/>
  </numFmts>
  <fonts count="1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0"/>
      <name val="Arial Narrow"/>
      <family val="2"/>
      <charset val="204"/>
    </font>
    <font>
      <sz val="8"/>
      <color theme="0"/>
      <name val="Arial Narrow"/>
      <family val="2"/>
      <charset val="204"/>
    </font>
    <font>
      <b/>
      <sz val="12"/>
      <color theme="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theme="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0"/>
      <name val="Arial Narrow"/>
      <family val="2"/>
      <charset val="204"/>
    </font>
    <font>
      <sz val="10"/>
      <color theme="0" tint="-0.499984740745262"/>
      <name val="Arial Narrow"/>
      <family val="2"/>
      <charset val="204"/>
    </font>
    <font>
      <sz val="10"/>
      <color rgb="FF002060"/>
      <name val="Arial Narrow"/>
      <family val="2"/>
      <charset val="204"/>
    </font>
    <font>
      <sz val="10"/>
      <color theme="5" tint="-0.249977111117893"/>
      <name val="Arial Narrow"/>
      <family val="2"/>
      <charset val="204"/>
    </font>
    <font>
      <sz val="11"/>
      <color theme="0" tint="-0.499984740745262"/>
      <name val="Arial Narrow"/>
      <family val="2"/>
      <charset val="204"/>
    </font>
    <font>
      <i/>
      <sz val="10"/>
      <name val="Arial Narrow"/>
      <family val="2"/>
      <charset val="204"/>
    </font>
    <font>
      <sz val="10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00B0F0"/>
      <name val="Arial Narrow"/>
      <family val="2"/>
      <charset val="204"/>
    </font>
    <font>
      <sz val="10"/>
      <color rgb="FFA0A5B8"/>
      <name val="Arial Narrow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 Light"/>
      <family val="2"/>
      <charset val="204"/>
      <scheme val="major"/>
    </font>
    <font>
      <sz val="10"/>
      <name val="Calibri Light"/>
      <family val="2"/>
      <charset val="204"/>
      <scheme val="major"/>
    </font>
    <font>
      <b/>
      <sz val="10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sz val="11"/>
      <color rgb="FF00B0F0"/>
      <name val="Calibri"/>
      <family val="2"/>
      <charset val="204"/>
      <scheme val="minor"/>
    </font>
    <font>
      <sz val="10"/>
      <color rgb="FF00B0F0"/>
      <name val="Calibri Light"/>
      <family val="2"/>
      <charset val="204"/>
      <scheme val="major"/>
    </font>
    <font>
      <b/>
      <sz val="10"/>
      <color rgb="FF00B0F0"/>
      <name val="Calibri Light"/>
      <family val="2"/>
      <charset val="204"/>
      <scheme val="major"/>
    </font>
    <font>
      <sz val="10"/>
      <color theme="0" tint="-0.34998626667073579"/>
      <name val="Calibri Light"/>
      <family val="2"/>
      <charset val="204"/>
      <scheme val="major"/>
    </font>
    <font>
      <b/>
      <sz val="10"/>
      <color theme="4" tint="-0.499984740745262"/>
      <name val="Arial Narrow"/>
      <family val="2"/>
      <charset val="204"/>
    </font>
    <font>
      <b/>
      <sz val="12"/>
      <color rgb="FF2A24A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5EE474"/>
      <name val="Calibri Light"/>
      <family val="2"/>
      <charset val="204"/>
      <scheme val="major"/>
    </font>
    <font>
      <sz val="10"/>
      <color theme="1"/>
      <name val="Calibri"/>
      <family val="2"/>
      <charset val="204"/>
      <scheme val="minor"/>
    </font>
    <font>
      <sz val="10"/>
      <color theme="0" tint="-0.249977111117893"/>
      <name val="Calibri"/>
      <family val="2"/>
      <charset val="204"/>
      <scheme val="minor"/>
    </font>
    <font>
      <b/>
      <sz val="14"/>
      <color theme="0"/>
      <name val="Arial Narrow"/>
      <family val="2"/>
      <charset val="204"/>
    </font>
    <font>
      <sz val="12"/>
      <color theme="0"/>
      <name val="Arial Narrow"/>
      <family val="2"/>
      <charset val="204"/>
    </font>
    <font>
      <sz val="9"/>
      <color theme="0" tint="-0.499984740745262"/>
      <name val="Arial Narrow"/>
      <family val="2"/>
      <charset val="204"/>
    </font>
    <font>
      <b/>
      <sz val="10"/>
      <color theme="1"/>
      <name val="Calibri Light"/>
      <family val="2"/>
      <charset val="204"/>
      <scheme val="major"/>
    </font>
    <font>
      <b/>
      <sz val="12"/>
      <color theme="0"/>
      <name val="Calibri"/>
      <family val="2"/>
      <charset val="204"/>
      <scheme val="minor"/>
    </font>
    <font>
      <sz val="9"/>
      <color rgb="FFA0A5B8"/>
      <name val="Calibri Light"/>
      <family val="2"/>
      <charset val="204"/>
      <scheme val="major"/>
    </font>
    <font>
      <sz val="3"/>
      <color theme="1"/>
      <name val="Calibri"/>
      <family val="2"/>
      <charset val="204"/>
      <scheme val="minor"/>
    </font>
    <font>
      <sz val="10"/>
      <color theme="5" tint="-0.249977111117893"/>
      <name val="Calibri Light"/>
      <family val="2"/>
      <charset val="204"/>
      <scheme val="major"/>
    </font>
    <font>
      <sz val="10"/>
      <color rgb="FFA7ABBD"/>
      <name val="Arial Narrow"/>
      <family val="2"/>
      <charset val="204"/>
    </font>
    <font>
      <sz val="3"/>
      <color theme="1"/>
      <name val="Arial Narrow"/>
      <family val="2"/>
      <charset val="204"/>
    </font>
    <font>
      <b/>
      <sz val="3"/>
      <color theme="1"/>
      <name val="Arial Narrow"/>
      <family val="2"/>
      <charset val="204"/>
    </font>
    <font>
      <sz val="3"/>
      <color rgb="FF002060"/>
      <name val="Arial Narrow"/>
      <family val="2"/>
      <charset val="204"/>
    </font>
    <font>
      <sz val="3"/>
      <color theme="0"/>
      <name val="Arial Narrow"/>
      <family val="2"/>
      <charset val="204"/>
    </font>
    <font>
      <sz val="3"/>
      <name val="Arial Narrow"/>
      <family val="2"/>
      <charset val="204"/>
    </font>
    <font>
      <sz val="3"/>
      <color theme="0" tint="-0.249977111117893"/>
      <name val="Calibri"/>
      <family val="2"/>
      <charset val="204"/>
      <scheme val="minor"/>
    </font>
    <font>
      <b/>
      <sz val="3"/>
      <name val="Arial Narrow"/>
      <family val="2"/>
      <charset val="204"/>
    </font>
    <font>
      <sz val="11"/>
      <color rgb="FF1DC4FF"/>
      <name val="Calibri"/>
      <family val="2"/>
      <charset val="204"/>
      <scheme val="minor"/>
    </font>
    <font>
      <b/>
      <sz val="10"/>
      <color theme="5" tint="-0.249977111117893"/>
      <name val="Arial Narrow"/>
      <family val="2"/>
      <charset val="204"/>
    </font>
    <font>
      <sz val="10"/>
      <color theme="3" tint="-0.249977111117893"/>
      <name val="Arial Narrow"/>
      <family val="2"/>
      <charset val="204"/>
    </font>
    <font>
      <sz val="9"/>
      <color theme="3" tint="-0.249977111117893"/>
      <name val="Arial Narrow"/>
      <family val="2"/>
      <charset val="204"/>
    </font>
    <font>
      <b/>
      <sz val="10"/>
      <color theme="3" tint="-0.249977111117893"/>
      <name val="Arial Narrow"/>
      <family val="2"/>
      <charset val="204"/>
    </font>
    <font>
      <sz val="9"/>
      <color rgb="FF00B0F0"/>
      <name val="Arial Narrow"/>
      <family val="2"/>
      <charset val="204"/>
    </font>
    <font>
      <sz val="7"/>
      <color theme="0" tint="-0.499984740745262"/>
      <name val="Arial Narrow"/>
      <family val="2"/>
      <charset val="204"/>
    </font>
    <font>
      <b/>
      <sz val="10"/>
      <color rgb="FFA0A5B8"/>
      <name val="Arial Narrow"/>
      <family val="2"/>
      <charset val="204"/>
    </font>
    <font>
      <sz val="10"/>
      <color rgb="FF8086A0"/>
      <name val="Arial Narrow"/>
      <family val="2"/>
      <charset val="204"/>
    </font>
    <font>
      <sz val="11"/>
      <color theme="5" tint="-0.249977111117893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1"/>
      <color rgb="FF8086A0"/>
      <name val="Calibri"/>
      <family val="2"/>
      <charset val="204"/>
      <scheme val="minor"/>
    </font>
    <font>
      <u/>
      <sz val="11"/>
      <color rgb="FF8086A0"/>
      <name val="Calibri"/>
      <family val="2"/>
      <charset val="204"/>
      <scheme val="minor"/>
    </font>
    <font>
      <sz val="10"/>
      <color rgb="FF8086A0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i/>
      <sz val="11"/>
      <color rgb="FF8086A0"/>
      <name val="Calibri"/>
      <family val="2"/>
      <charset val="204"/>
      <scheme val="minor"/>
    </font>
    <font>
      <i/>
      <sz val="10"/>
      <color rgb="FF00B0F0"/>
      <name val="Calibri"/>
      <family val="2"/>
      <charset val="204"/>
      <scheme val="minor"/>
    </font>
    <font>
      <sz val="14"/>
      <color theme="5" tint="-0.249977111117893"/>
      <name val="Calibri"/>
      <family val="2"/>
      <charset val="204"/>
      <scheme val="minor"/>
    </font>
    <font>
      <i/>
      <u/>
      <sz val="9"/>
      <color rgb="FF00B0F0"/>
      <name val="Calibri"/>
      <family val="2"/>
      <charset val="204"/>
      <scheme val="minor"/>
    </font>
    <font>
      <sz val="12"/>
      <color theme="5" tint="-0.249977111117893"/>
      <name val="Calibri"/>
      <family val="2"/>
      <charset val="204"/>
      <scheme val="minor"/>
    </font>
    <font>
      <sz val="10"/>
      <color rgb="FF8086A0"/>
      <name val="Calibri Light"/>
      <family val="2"/>
      <charset val="204"/>
      <scheme val="major"/>
    </font>
    <font>
      <sz val="11"/>
      <color rgb="FFA7ABBD"/>
      <name val="Calibri"/>
      <family val="2"/>
      <charset val="204"/>
      <scheme val="minor"/>
    </font>
    <font>
      <sz val="10"/>
      <color rgb="FFA7ABBD"/>
      <name val="Calibri Light"/>
      <family val="2"/>
      <charset val="204"/>
      <scheme val="major"/>
    </font>
    <font>
      <b/>
      <sz val="10.5"/>
      <color rgb="FF8086A0"/>
      <name val="Calibri Light"/>
      <family val="2"/>
      <charset val="204"/>
      <scheme val="major"/>
    </font>
    <font>
      <sz val="1"/>
      <color theme="0" tint="-0.499984740745262"/>
      <name val="Arial Narrow"/>
      <family val="2"/>
      <charset val="204"/>
    </font>
    <font>
      <b/>
      <i/>
      <sz val="16"/>
      <color rgb="FF8086A0"/>
      <name val="Calibri"/>
      <family val="2"/>
      <charset val="204"/>
      <scheme val="minor"/>
    </font>
    <font>
      <sz val="8"/>
      <color theme="0" tint="-0.34998626667073579"/>
      <name val="Calibri Light"/>
      <family val="2"/>
      <charset val="204"/>
      <scheme val="major"/>
    </font>
    <font>
      <sz val="8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sz val="9"/>
      <color rgb="FF002060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sz val="8"/>
      <color rgb="FFA0A5B8"/>
      <name val="Calibri Light"/>
      <family val="2"/>
      <charset val="204"/>
      <scheme val="major"/>
    </font>
    <font>
      <b/>
      <sz val="16"/>
      <color theme="5" tint="-0.249977111117893"/>
      <name val="Calibri"/>
      <family val="2"/>
      <charset val="204"/>
      <scheme val="minor"/>
    </font>
    <font>
      <sz val="16"/>
      <color theme="5" tint="-0.249977111117893"/>
      <name val="Calibri"/>
      <family val="2"/>
      <charset val="204"/>
      <scheme val="minor"/>
    </font>
    <font>
      <sz val="8"/>
      <color theme="5" tint="-0.249977111117893"/>
      <name val="Calibri Light"/>
      <family val="2"/>
      <charset val="204"/>
      <scheme val="major"/>
    </font>
    <font>
      <sz val="8"/>
      <color rgb="FF002060"/>
      <name val="Calibri Light"/>
      <family val="2"/>
      <charset val="204"/>
      <scheme val="major"/>
    </font>
    <font>
      <sz val="7"/>
      <color rgb="FFA0A5B8"/>
      <name val="Calibri"/>
      <family val="2"/>
      <charset val="204"/>
      <scheme val="minor"/>
    </font>
    <font>
      <sz val="8"/>
      <color theme="5" tint="-0.249977111117893"/>
      <name val="Calibri"/>
      <family val="2"/>
      <charset val="204"/>
      <scheme val="minor"/>
    </font>
    <font>
      <sz val="7"/>
      <color theme="0" tint="-0.34998626667073579"/>
      <name val="Calibri Light"/>
      <family val="2"/>
      <charset val="204"/>
      <scheme val="major"/>
    </font>
    <font>
      <sz val="7"/>
      <color rgb="FFF7C7A7"/>
      <name val="Calibri"/>
      <family val="2"/>
      <charset val="204"/>
      <scheme val="minor"/>
    </font>
    <font>
      <sz val="7"/>
      <color theme="1"/>
      <name val="Calibri Light"/>
      <family val="2"/>
      <charset val="204"/>
      <scheme val="major"/>
    </font>
    <font>
      <sz val="7"/>
      <name val="Calibri Light"/>
      <family val="2"/>
      <charset val="204"/>
      <scheme val="major"/>
    </font>
    <font>
      <sz val="7"/>
      <color rgb="FF00B0F0"/>
      <name val="Calibri Light"/>
      <family val="2"/>
      <charset val="204"/>
      <scheme val="major"/>
    </font>
    <font>
      <sz val="7"/>
      <color rgb="FFA0A5B8"/>
      <name val="Calibri Light"/>
      <family val="2"/>
      <charset val="204"/>
      <scheme val="major"/>
    </font>
    <font>
      <sz val="7"/>
      <color rgb="FF4F5469"/>
      <name val="Calibri Light"/>
      <family val="2"/>
      <charset val="204"/>
      <scheme val="major"/>
    </font>
    <font>
      <sz val="11"/>
      <color rgb="FF4F5469"/>
      <name val="Calibri"/>
      <family val="2"/>
      <charset val="204"/>
      <scheme val="minor"/>
    </font>
    <font>
      <b/>
      <sz val="7"/>
      <color rgb="FF4F5469"/>
      <name val="Calibri Light"/>
      <family val="2"/>
      <charset val="204"/>
      <scheme val="major"/>
    </font>
    <font>
      <sz val="7"/>
      <color rgb="FF002060"/>
      <name val="Calibri"/>
      <family val="2"/>
      <charset val="204"/>
      <scheme val="minor"/>
    </font>
    <font>
      <sz val="7"/>
      <color theme="0"/>
      <name val="Calibri"/>
      <family val="2"/>
      <charset val="204"/>
      <scheme val="minor"/>
    </font>
    <font>
      <sz val="7"/>
      <color theme="0" tint="-0.499984740745262"/>
      <name val="Calibri"/>
      <family val="2"/>
      <charset val="204"/>
      <scheme val="minor"/>
    </font>
    <font>
      <b/>
      <sz val="11"/>
      <color rgb="FF8086A0"/>
      <name val="Calibri"/>
      <family val="2"/>
      <charset val="204"/>
      <scheme val="minor"/>
    </font>
    <font>
      <b/>
      <sz val="10"/>
      <color rgb="FF8086A0"/>
      <name val="Arial Narrow"/>
      <family val="2"/>
      <charset val="204"/>
    </font>
    <font>
      <sz val="9"/>
      <color rgb="FFA7ABBD"/>
      <name val="Arial Narrow"/>
      <family val="2"/>
      <charset val="204"/>
    </font>
    <font>
      <sz val="9"/>
      <color rgb="FF8086A0"/>
      <name val="Arial Narrow"/>
      <family val="2"/>
      <charset val="204"/>
    </font>
    <font>
      <b/>
      <sz val="9"/>
      <color indexed="23"/>
      <name val="Tahoma"/>
      <family val="2"/>
      <charset val="204"/>
    </font>
    <font>
      <sz val="9"/>
      <color indexed="23"/>
      <name val="Tahoma"/>
      <family val="2"/>
      <charset val="204"/>
    </font>
    <font>
      <sz val="8"/>
      <color rgb="FFA7ABBD"/>
      <name val="Arial Narrow"/>
      <family val="2"/>
      <charset val="204"/>
    </font>
    <font>
      <b/>
      <sz val="12"/>
      <color theme="5" tint="-0.249977111117893"/>
      <name val="Arial Narrow"/>
      <family val="2"/>
      <charset val="204"/>
    </font>
    <font>
      <sz val="9"/>
      <color theme="5" tint="-0.249977111117893"/>
      <name val="Arial Narrow"/>
      <family val="2"/>
      <charset val="204"/>
    </font>
    <font>
      <sz val="9"/>
      <color rgb="FFF7C7A7"/>
      <name val="Arial Narrow"/>
      <family val="2"/>
      <charset val="204"/>
    </font>
    <font>
      <b/>
      <sz val="11"/>
      <color theme="5" tint="-0.249977111117893"/>
      <name val="Arial Narrow"/>
      <family val="2"/>
      <charset val="204"/>
    </font>
    <font>
      <sz val="9"/>
      <name val="Arial Narrow"/>
      <family val="2"/>
      <charset val="204"/>
    </font>
    <font>
      <b/>
      <sz val="12"/>
      <color rgb="FF8086A0"/>
      <name val="Arial Narrow"/>
      <family val="2"/>
      <charset val="204"/>
    </font>
    <font>
      <b/>
      <sz val="12"/>
      <color rgb="FFC65911"/>
      <name val="Arial Narrow"/>
      <family val="2"/>
      <charset val="204"/>
    </font>
    <font>
      <sz val="12"/>
      <color theme="5" tint="-0.249977111117893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0A5B8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darkUp">
        <fgColor theme="0" tint="-0.149967955565050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lightUp">
        <fgColor theme="0" tint="-0.24994659260841701"/>
        <bgColor theme="0"/>
      </patternFill>
    </fill>
    <fill>
      <patternFill patternType="solid">
        <fgColor rgb="FFF2F2F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E9EAEF"/>
        </stop>
      </gradient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ashed">
        <color theme="0" tint="-0.14996795556505021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tted">
        <color rgb="FFCBCDD7"/>
      </bottom>
      <diagonal/>
    </border>
    <border>
      <left/>
      <right/>
      <top/>
      <bottom style="thin">
        <color rgb="FFA7ABBD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rgb="FFF7C7A7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3" borderId="1">
      <alignment vertical="center"/>
    </xf>
    <xf numFmtId="165" fontId="11" fillId="4" borderId="2">
      <alignment horizontal="center" vertical="center"/>
      <protection locked="0"/>
    </xf>
    <xf numFmtId="169" fontId="14" fillId="0" borderId="2">
      <alignment horizontal="right" vertical="center"/>
      <protection locked="0"/>
    </xf>
    <xf numFmtId="0" fontId="22" fillId="0" borderId="0" applyNumberFormat="0" applyFill="0" applyBorder="0" applyAlignment="0" applyProtection="0"/>
    <xf numFmtId="0" fontId="23" fillId="0" borderId="0"/>
    <xf numFmtId="0" fontId="32" fillId="6" borderId="6">
      <alignment vertical="center"/>
    </xf>
    <xf numFmtId="165" fontId="15" fillId="0" borderId="2">
      <alignment horizontal="right" vertical="center"/>
    </xf>
    <xf numFmtId="171" fontId="15" fillId="0" borderId="7">
      <alignment horizontal="right" vertical="center"/>
    </xf>
    <xf numFmtId="165" fontId="15" fillId="7" borderId="0">
      <alignment horizontal="right" vertical="center"/>
    </xf>
    <xf numFmtId="0" fontId="19" fillId="0" borderId="0">
      <alignment horizontal="left"/>
    </xf>
    <xf numFmtId="174" fontId="1" fillId="0" borderId="0"/>
    <xf numFmtId="0" fontId="1" fillId="0" borderId="0"/>
  </cellStyleXfs>
  <cellXfs count="316">
    <xf numFmtId="0" fontId="0" fillId="0" borderId="0" xfId="0"/>
    <xf numFmtId="164" fontId="2" fillId="2" borderId="0" xfId="0" applyNumberFormat="1" applyFont="1" applyFill="1" applyBorder="1" applyAlignment="1">
      <alignment horizontal="center"/>
    </xf>
    <xf numFmtId="0" fontId="0" fillId="0" borderId="0" xfId="0" applyFill="1" applyBorder="1"/>
    <xf numFmtId="164" fontId="3" fillId="2" borderId="0" xfId="0" applyNumberFormat="1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0" fontId="9" fillId="0" borderId="0" xfId="2" applyFont="1" applyFill="1" applyBorder="1">
      <alignment vertical="center"/>
    </xf>
    <xf numFmtId="0" fontId="7" fillId="0" borderId="0" xfId="0" applyFont="1" applyFill="1" applyAlignment="1">
      <alignment horizontal="left" indent="1"/>
    </xf>
    <xf numFmtId="9" fontId="5" fillId="0" borderId="0" xfId="1" applyFont="1" applyAlignment="1">
      <alignment horizontal="center" vertical="center"/>
    </xf>
    <xf numFmtId="9" fontId="10" fillId="5" borderId="0" xfId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164" fontId="4" fillId="2" borderId="0" xfId="0" applyNumberFormat="1" applyFont="1" applyFill="1" applyBorder="1" applyAlignment="1">
      <alignment horizontal="left"/>
    </xf>
    <xf numFmtId="170" fontId="11" fillId="4" borderId="2" xfId="1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Alignment="1"/>
    <xf numFmtId="0" fontId="24" fillId="0" borderId="0" xfId="0" applyFont="1"/>
    <xf numFmtId="165" fontId="11" fillId="4" borderId="2" xfId="1" applyNumberFormat="1" applyFont="1" applyFill="1" applyBorder="1" applyAlignment="1" applyProtection="1">
      <alignment horizontal="right" vertical="center" indent="1"/>
      <protection locked="0"/>
    </xf>
    <xf numFmtId="165" fontId="11" fillId="4" borderId="2" xfId="1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inden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27" fillId="0" borderId="0" xfId="0" applyFont="1" applyAlignment="1">
      <alignment vertical="center" wrapText="1"/>
    </xf>
    <xf numFmtId="0" fontId="33" fillId="0" borderId="0" xfId="0" applyFont="1"/>
    <xf numFmtId="170" fontId="11" fillId="4" borderId="4" xfId="1" applyNumberFormat="1" applyFont="1" applyFill="1" applyBorder="1" applyAlignment="1" applyProtection="1">
      <alignment horizontal="right" vertical="center" indent="1"/>
      <protection locked="0"/>
    </xf>
    <xf numFmtId="165" fontId="11" fillId="4" borderId="4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center"/>
    </xf>
    <xf numFmtId="0" fontId="25" fillId="0" borderId="0" xfId="0" applyFont="1" applyAlignment="1">
      <alignment horizontal="left" indent="1"/>
    </xf>
    <xf numFmtId="0" fontId="34" fillId="0" borderId="0" xfId="5" applyFont="1" applyAlignment="1">
      <alignment horizontal="left" vertical="center"/>
    </xf>
    <xf numFmtId="41" fontId="15" fillId="0" borderId="5" xfId="4" applyNumberFormat="1" applyFont="1" applyFill="1" applyBorder="1" applyAlignment="1">
      <alignment horizontal="right" vertical="center" indent="1"/>
      <protection locked="0"/>
    </xf>
    <xf numFmtId="164" fontId="39" fillId="2" borderId="0" xfId="0" applyNumberFormat="1" applyFont="1" applyFill="1" applyBorder="1" applyAlignment="1">
      <alignment horizontal="right"/>
    </xf>
    <xf numFmtId="164" fontId="39" fillId="2" borderId="0" xfId="0" applyNumberFormat="1" applyFont="1" applyFill="1" applyBorder="1" applyAlignment="1">
      <alignment horizontal="left" indent="1"/>
    </xf>
    <xf numFmtId="164" fontId="5" fillId="2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42" fillId="2" borderId="0" xfId="0" applyFont="1" applyFill="1"/>
    <xf numFmtId="165" fontId="29" fillId="0" borderId="0" xfId="0" applyNumberFormat="1" applyFont="1" applyAlignment="1">
      <alignment horizontal="left" vertical="center"/>
    </xf>
    <xf numFmtId="9" fontId="29" fillId="0" borderId="0" xfId="1" applyFont="1" applyAlignment="1">
      <alignment horizontal="center" vertical="center"/>
    </xf>
    <xf numFmtId="175" fontId="43" fillId="0" borderId="0" xfId="0" applyNumberFormat="1" applyFont="1" applyAlignment="1">
      <alignment horizontal="center"/>
    </xf>
    <xf numFmtId="170" fontId="10" fillId="5" borderId="0" xfId="1" applyNumberFormat="1" applyFont="1" applyFill="1" applyBorder="1" applyAlignment="1" applyProtection="1">
      <alignment horizontal="center" vertical="center"/>
      <protection hidden="1"/>
    </xf>
    <xf numFmtId="9" fontId="24" fillId="0" borderId="0" xfId="1" applyFont="1"/>
    <xf numFmtId="173" fontId="10" fillId="5" borderId="0" xfId="1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Border="1"/>
    <xf numFmtId="0" fontId="25" fillId="0" borderId="0" xfId="0" applyFont="1" applyBorder="1" applyAlignment="1">
      <alignment horizontal="right"/>
    </xf>
    <xf numFmtId="0" fontId="0" fillId="0" borderId="9" xfId="0" applyBorder="1"/>
    <xf numFmtId="0" fontId="31" fillId="0" borderId="0" xfId="0" applyFont="1" applyAlignment="1">
      <alignment horizontal="right" vertical="center" indent="1"/>
    </xf>
    <xf numFmtId="0" fontId="45" fillId="0" borderId="0" xfId="0" applyFont="1" applyAlignment="1">
      <alignment horizontal="left" indent="1"/>
    </xf>
    <xf numFmtId="170" fontId="11" fillId="0" borderId="0" xfId="1" applyNumberFormat="1" applyFont="1" applyFill="1" applyBorder="1" applyAlignment="1" applyProtection="1">
      <alignment horizontal="right" vertical="center" indent="1"/>
      <protection locked="0"/>
    </xf>
    <xf numFmtId="177" fontId="11" fillId="8" borderId="2" xfId="1" applyNumberFormat="1" applyFont="1" applyFill="1" applyBorder="1" applyAlignment="1" applyProtection="1">
      <alignment horizontal="right" vertical="center" indent="1"/>
      <protection locked="0"/>
    </xf>
    <xf numFmtId="165" fontId="11" fillId="4" borderId="8" xfId="1" applyNumberFormat="1" applyFont="1" applyFill="1" applyBorder="1" applyAlignment="1" applyProtection="1">
      <alignment horizontal="right" vertical="center" indent="1"/>
      <protection locked="0"/>
    </xf>
    <xf numFmtId="9" fontId="24" fillId="4" borderId="2" xfId="1" applyFont="1" applyFill="1" applyBorder="1" applyAlignment="1" applyProtection="1">
      <alignment horizontal="center" vertical="center"/>
    </xf>
    <xf numFmtId="0" fontId="24" fillId="0" borderId="10" xfId="0" applyFont="1" applyBorder="1" applyAlignment="1">
      <alignment horizontal="left" indent="1"/>
    </xf>
    <xf numFmtId="9" fontId="24" fillId="4" borderId="11" xfId="1" applyFont="1" applyFill="1" applyBorder="1" applyAlignment="1" applyProtection="1">
      <alignment horizontal="center" vertical="center"/>
    </xf>
    <xf numFmtId="165" fontId="11" fillId="4" borderId="12" xfId="1" applyNumberFormat="1" applyFont="1" applyFill="1" applyBorder="1" applyAlignment="1" applyProtection="1">
      <alignment horizontal="right" vertical="center" indent="1"/>
      <protection locked="0"/>
    </xf>
    <xf numFmtId="170" fontId="11" fillId="4" borderId="11" xfId="1" applyNumberFormat="1" applyFont="1" applyFill="1" applyBorder="1" applyAlignment="1" applyProtection="1">
      <alignment horizontal="right" vertical="center" indent="1"/>
      <protection locked="0"/>
    </xf>
    <xf numFmtId="165" fontId="11" fillId="4" borderId="11" xfId="1" applyNumberFormat="1" applyFont="1" applyFill="1" applyBorder="1" applyAlignment="1" applyProtection="1">
      <alignment horizontal="center" vertical="center"/>
      <protection locked="0"/>
    </xf>
    <xf numFmtId="9" fontId="24" fillId="0" borderId="0" xfId="1" applyFont="1" applyFill="1" applyBorder="1" applyAlignment="1" applyProtection="1">
      <alignment horizontal="center" vertical="center"/>
    </xf>
    <xf numFmtId="165" fontId="11" fillId="0" borderId="0" xfId="1" applyNumberFormat="1" applyFont="1" applyFill="1" applyBorder="1" applyAlignment="1" applyProtection="1">
      <alignment horizontal="right" vertical="center" indent="1"/>
      <protection locked="0"/>
    </xf>
    <xf numFmtId="165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13" xfId="0" applyFont="1" applyBorder="1"/>
    <xf numFmtId="0" fontId="29" fillId="0" borderId="13" xfId="0" applyFont="1" applyBorder="1" applyAlignment="1">
      <alignment horizontal="left" vertical="center"/>
    </xf>
    <xf numFmtId="9" fontId="29" fillId="0" borderId="13" xfId="1" applyFont="1" applyBorder="1" applyAlignment="1">
      <alignment horizontal="center" vertical="center"/>
    </xf>
    <xf numFmtId="0" fontId="44" fillId="0" borderId="0" xfId="0" applyFont="1" applyFill="1" applyBorder="1"/>
    <xf numFmtId="0" fontId="24" fillId="0" borderId="0" xfId="0" applyFont="1" applyAlignment="1"/>
    <xf numFmtId="0" fontId="41" fillId="0" borderId="0" xfId="0" applyFont="1" applyAlignment="1">
      <alignment vertical="center"/>
    </xf>
    <xf numFmtId="9" fontId="62" fillId="0" borderId="0" xfId="1" applyFont="1"/>
    <xf numFmtId="9" fontId="45" fillId="0" borderId="0" xfId="1" applyFont="1"/>
    <xf numFmtId="0" fontId="65" fillId="0" borderId="0" xfId="0" applyFont="1"/>
    <xf numFmtId="0" fontId="66" fillId="0" borderId="0" xfId="5" applyFont="1"/>
    <xf numFmtId="0" fontId="67" fillId="0" borderId="0" xfId="0" applyFont="1" applyAlignment="1">
      <alignment horizontal="right"/>
    </xf>
    <xf numFmtId="0" fontId="65" fillId="0" borderId="14" xfId="0" applyFont="1" applyBorder="1"/>
    <xf numFmtId="0" fontId="64" fillId="0" borderId="0" xfId="0" applyFont="1"/>
    <xf numFmtId="0" fontId="69" fillId="0" borderId="0" xfId="0" applyFont="1" applyAlignment="1">
      <alignment horizontal="right"/>
    </xf>
    <xf numFmtId="0" fontId="70" fillId="0" borderId="0" xfId="0" applyFont="1"/>
    <xf numFmtId="0" fontId="69" fillId="0" borderId="0" xfId="0" applyFont="1" applyAlignment="1">
      <alignment horizontal="right" indent="3"/>
    </xf>
    <xf numFmtId="9" fontId="62" fillId="0" borderId="0" xfId="1" applyFont="1" applyBorder="1" applyAlignment="1">
      <alignment vertical="center"/>
    </xf>
    <xf numFmtId="41" fontId="55" fillId="0" borderId="0" xfId="1" applyNumberFormat="1" applyFont="1" applyBorder="1" applyAlignment="1">
      <alignment vertical="center"/>
    </xf>
    <xf numFmtId="9" fontId="62" fillId="0" borderId="14" xfId="1" applyFont="1" applyBorder="1" applyAlignment="1">
      <alignment vertical="center"/>
    </xf>
    <xf numFmtId="9" fontId="75" fillId="0" borderId="0" xfId="1" applyFont="1"/>
    <xf numFmtId="9" fontId="62" fillId="0" borderId="15" xfId="1" applyFont="1" applyBorder="1"/>
    <xf numFmtId="178" fontId="75" fillId="0" borderId="0" xfId="1" applyNumberFormat="1" applyFont="1" applyAlignment="1">
      <alignment horizontal="center"/>
    </xf>
    <xf numFmtId="178" fontId="75" fillId="4" borderId="16" xfId="1" applyNumberFormat="1" applyFont="1" applyFill="1" applyBorder="1" applyAlignment="1">
      <alignment horizontal="center"/>
    </xf>
    <xf numFmtId="9" fontId="46" fillId="0" borderId="0" xfId="1" applyFont="1" applyBorder="1" applyAlignment="1">
      <alignment horizontal="right"/>
    </xf>
    <xf numFmtId="0" fontId="76" fillId="0" borderId="0" xfId="0" applyFont="1"/>
    <xf numFmtId="9" fontId="46" fillId="0" borderId="0" xfId="1" applyFont="1" applyBorder="1" applyAlignment="1">
      <alignment horizontal="center"/>
    </xf>
    <xf numFmtId="9" fontId="77" fillId="0" borderId="0" xfId="1" applyFont="1"/>
    <xf numFmtId="165" fontId="11" fillId="0" borderId="2" xfId="1" applyNumberFormat="1" applyFont="1" applyFill="1" applyBorder="1" applyAlignment="1" applyProtection="1">
      <alignment horizontal="right" vertical="center" indent="1"/>
      <protection locked="0"/>
    </xf>
    <xf numFmtId="9" fontId="79" fillId="5" borderId="0" xfId="1" applyFont="1" applyFill="1" applyBorder="1" applyAlignment="1" applyProtection="1">
      <alignment horizontal="center" vertical="center"/>
      <protection hidden="1"/>
    </xf>
    <xf numFmtId="0" fontId="67" fillId="0" borderId="0" xfId="0" applyFont="1"/>
    <xf numFmtId="0" fontId="65" fillId="0" borderId="0" xfId="0" applyFont="1" applyAlignment="1">
      <alignment horizontal="left" indent="1"/>
    </xf>
    <xf numFmtId="0" fontId="0" fillId="0" borderId="0" xfId="0" applyNumberFormat="1"/>
    <xf numFmtId="0" fontId="71" fillId="0" borderId="0" xfId="0" applyFont="1" applyAlignment="1">
      <alignment vertical="top"/>
    </xf>
    <xf numFmtId="0" fontId="73" fillId="0" borderId="0" xfId="5" applyFont="1" applyAlignment="1">
      <alignment horizontal="center" vertical="top"/>
    </xf>
    <xf numFmtId="0" fontId="65" fillId="0" borderId="0" xfId="0" applyFont="1" applyAlignment="1">
      <alignment vertical="top"/>
    </xf>
    <xf numFmtId="0" fontId="0" fillId="0" borderId="0" xfId="0" applyAlignment="1">
      <alignment vertical="top"/>
    </xf>
    <xf numFmtId="0" fontId="80" fillId="0" borderId="0" xfId="0" applyFont="1"/>
    <xf numFmtId="0" fontId="81" fillId="0" borderId="0" xfId="0" applyFont="1" applyAlignment="1">
      <alignment horizontal="right" vertical="center"/>
    </xf>
    <xf numFmtId="0" fontId="81" fillId="0" borderId="0" xfId="0" applyFont="1" applyAlignment="1">
      <alignment horizontal="right" vertical="center" indent="1"/>
    </xf>
    <xf numFmtId="170" fontId="83" fillId="4" borderId="2" xfId="1" applyNumberFormat="1" applyFont="1" applyFill="1" applyBorder="1" applyAlignment="1" applyProtection="1">
      <alignment horizontal="center" vertical="center"/>
      <protection locked="0"/>
    </xf>
    <xf numFmtId="0" fontId="68" fillId="0" borderId="0" xfId="0" applyFont="1"/>
    <xf numFmtId="0" fontId="81" fillId="0" borderId="0" xfId="0" applyFont="1" applyAlignment="1">
      <alignment horizontal="left" vertical="center" indent="1"/>
    </xf>
    <xf numFmtId="170" fontId="11" fillId="0" borderId="2" xfId="1" applyNumberFormat="1" applyFont="1" applyFill="1" applyBorder="1" applyAlignment="1" applyProtection="1">
      <alignment horizontal="center" vertical="center"/>
      <protection locked="0"/>
    </xf>
    <xf numFmtId="14" fontId="11" fillId="0" borderId="2" xfId="3" applyNumberFormat="1" applyFont="1" applyFill="1" applyBorder="1">
      <alignment horizontal="center" vertical="center"/>
      <protection locked="0"/>
    </xf>
    <xf numFmtId="0" fontId="0" fillId="0" borderId="0" xfId="0" applyAlignment="1">
      <alignment horizontal="right"/>
    </xf>
    <xf numFmtId="0" fontId="69" fillId="0" borderId="0" xfId="0" applyFont="1" applyAlignment="1">
      <alignment horizontal="left" indent="1"/>
    </xf>
    <xf numFmtId="175" fontId="86" fillId="0" borderId="0" xfId="0" applyNumberFormat="1" applyFont="1" applyAlignment="1">
      <alignment horizontal="center"/>
    </xf>
    <xf numFmtId="0" fontId="87" fillId="0" borderId="0" xfId="0" applyFont="1"/>
    <xf numFmtId="167" fontId="90" fillId="4" borderId="2" xfId="3" applyNumberFormat="1" applyFont="1" applyFill="1" applyAlignment="1">
      <alignment horizontal="right" vertical="center" indent="1"/>
      <protection locked="0"/>
    </xf>
    <xf numFmtId="167" fontId="90" fillId="0" borderId="2" xfId="3" applyNumberFormat="1" applyFont="1" applyFill="1" applyAlignment="1">
      <alignment horizontal="right" vertical="center" indent="1"/>
      <protection locked="0"/>
    </xf>
    <xf numFmtId="0" fontId="89" fillId="0" borderId="0" xfId="0" applyFont="1" applyAlignment="1">
      <alignment horizontal="right" vertical="center" indent="1"/>
    </xf>
    <xf numFmtId="0" fontId="22" fillId="0" borderId="0" xfId="5" applyAlignment="1">
      <alignment horizontal="left" vertical="center" indent="1"/>
    </xf>
    <xf numFmtId="0" fontId="65" fillId="0" borderId="0" xfId="0" applyFont="1" applyAlignment="1"/>
    <xf numFmtId="0" fontId="65" fillId="0" borderId="0" xfId="0" quotePrefix="1" applyFont="1" applyAlignment="1"/>
    <xf numFmtId="179" fontId="91" fillId="0" borderId="0" xfId="0" applyNumberFormat="1" applyFont="1" applyAlignment="1">
      <alignment horizontal="center"/>
    </xf>
    <xf numFmtId="168" fontId="82" fillId="4" borderId="2" xfId="1" applyNumberFormat="1" applyFont="1" applyFill="1" applyBorder="1" applyAlignment="1" applyProtection="1">
      <alignment horizontal="right" vertical="center" indent="1"/>
      <protection locked="0"/>
    </xf>
    <xf numFmtId="180" fontId="92" fillId="0" borderId="0" xfId="1" applyNumberFormat="1" applyFont="1" applyFill="1" applyBorder="1" applyAlignment="1" applyProtection="1">
      <alignment horizontal="center" vertical="center"/>
      <protection locked="0"/>
    </xf>
    <xf numFmtId="181" fontId="92" fillId="0" borderId="0" xfId="1" applyNumberFormat="1" applyFont="1" applyFill="1" applyBorder="1" applyAlignment="1" applyProtection="1">
      <alignment horizontal="center" vertical="center"/>
      <protection locked="0"/>
    </xf>
    <xf numFmtId="0" fontId="93" fillId="0" borderId="0" xfId="0" applyFont="1" applyAlignment="1">
      <alignment horizontal="left" vertical="top" indent="1"/>
    </xf>
    <xf numFmtId="2" fontId="94" fillId="0" borderId="0" xfId="13" applyNumberFormat="1" applyFont="1" applyFill="1" applyBorder="1" applyAlignment="1">
      <alignment horizontal="center" vertical="top"/>
    </xf>
    <xf numFmtId="1" fontId="94" fillId="0" borderId="18" xfId="13" applyNumberFormat="1" applyFont="1" applyFill="1" applyBorder="1" applyAlignment="1">
      <alignment horizontal="center"/>
    </xf>
    <xf numFmtId="0" fontId="96" fillId="0" borderId="0" xfId="0" applyFont="1" applyBorder="1"/>
    <xf numFmtId="0" fontId="97" fillId="0" borderId="0" xfId="0" applyFont="1" applyAlignment="1">
      <alignment horizontal="left" vertical="center"/>
    </xf>
    <xf numFmtId="9" fontId="97" fillId="0" borderId="0" xfId="1" applyFont="1" applyAlignment="1">
      <alignment horizontal="center" vertical="center"/>
    </xf>
    <xf numFmtId="175" fontId="98" fillId="0" borderId="0" xfId="0" applyNumberFormat="1" applyFont="1" applyAlignment="1">
      <alignment horizontal="center"/>
    </xf>
    <xf numFmtId="0" fontId="95" fillId="0" borderId="10" xfId="0" applyFont="1" applyBorder="1" applyAlignment="1">
      <alignment horizontal="left" indent="1"/>
    </xf>
    <xf numFmtId="0" fontId="95" fillId="0" borderId="0" xfId="0" applyFont="1" applyAlignment="1">
      <alignment horizontal="left" indent="1"/>
    </xf>
    <xf numFmtId="9" fontId="95" fillId="4" borderId="2" xfId="1" applyFont="1" applyFill="1" applyBorder="1" applyAlignment="1" applyProtection="1">
      <alignment horizontal="center" vertical="center"/>
    </xf>
    <xf numFmtId="9" fontId="95" fillId="4" borderId="19" xfId="1" applyFont="1" applyFill="1" applyBorder="1" applyAlignment="1" applyProtection="1">
      <alignment horizontal="center" vertical="center"/>
    </xf>
    <xf numFmtId="9" fontId="95" fillId="4" borderId="20" xfId="1" applyFont="1" applyFill="1" applyBorder="1" applyAlignment="1" applyProtection="1">
      <alignment horizontal="center" vertical="center"/>
    </xf>
    <xf numFmtId="0" fontId="99" fillId="0" borderId="0" xfId="0" applyFont="1" applyBorder="1"/>
    <xf numFmtId="0" fontId="99" fillId="0" borderId="10" xfId="0" applyFont="1" applyBorder="1" applyAlignment="1">
      <alignment horizontal="left" indent="1"/>
    </xf>
    <xf numFmtId="0" fontId="99" fillId="0" borderId="0" xfId="0" applyFont="1" applyAlignment="1">
      <alignment horizontal="left" indent="1"/>
    </xf>
    <xf numFmtId="0" fontId="100" fillId="0" borderId="0" xfId="0" applyFont="1"/>
    <xf numFmtId="0" fontId="101" fillId="0" borderId="0" xfId="0" applyFont="1" applyFill="1" applyBorder="1" applyAlignment="1" applyProtection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0" fontId="99" fillId="0" borderId="0" xfId="0" applyFont="1"/>
    <xf numFmtId="0" fontId="101" fillId="0" borderId="0" xfId="0" applyFont="1" applyAlignment="1">
      <alignment vertical="center"/>
    </xf>
    <xf numFmtId="165" fontId="102" fillId="4" borderId="12" xfId="1" applyNumberFormat="1" applyFont="1" applyFill="1" applyBorder="1" applyAlignment="1" applyProtection="1">
      <alignment horizontal="right" vertical="center" indent="1"/>
      <protection locked="0"/>
    </xf>
    <xf numFmtId="170" fontId="102" fillId="4" borderId="11" xfId="1" applyNumberFormat="1" applyFont="1" applyFill="1" applyBorder="1" applyAlignment="1" applyProtection="1">
      <alignment horizontal="right" vertical="center" indent="1"/>
      <protection locked="0"/>
    </xf>
    <xf numFmtId="165" fontId="102" fillId="4" borderId="11" xfId="1" applyNumberFormat="1" applyFont="1" applyFill="1" applyBorder="1" applyAlignment="1" applyProtection="1">
      <alignment horizontal="center" vertical="center"/>
      <protection locked="0"/>
    </xf>
    <xf numFmtId="9" fontId="103" fillId="0" borderId="0" xfId="1" applyFont="1" applyAlignment="1">
      <alignment horizontal="center" vertical="center"/>
    </xf>
    <xf numFmtId="9" fontId="104" fillId="5" borderId="0" xfId="1" applyFont="1" applyFill="1" applyBorder="1" applyAlignment="1" applyProtection="1">
      <alignment horizontal="center" vertical="center"/>
      <protection hidden="1"/>
    </xf>
    <xf numFmtId="165" fontId="102" fillId="4" borderId="8" xfId="1" applyNumberFormat="1" applyFont="1" applyFill="1" applyBorder="1" applyAlignment="1" applyProtection="1">
      <alignment horizontal="right" vertical="center" indent="1"/>
      <protection locked="0"/>
    </xf>
    <xf numFmtId="170" fontId="102" fillId="4" borderId="2" xfId="1" applyNumberFormat="1" applyFont="1" applyFill="1" applyBorder="1" applyAlignment="1" applyProtection="1">
      <alignment horizontal="right" vertical="center" indent="1"/>
      <protection locked="0"/>
    </xf>
    <xf numFmtId="165" fontId="102" fillId="4" borderId="2" xfId="1" applyNumberFormat="1" applyFont="1" applyFill="1" applyBorder="1" applyAlignment="1" applyProtection="1">
      <alignment horizontal="center" vertical="center"/>
      <protection locked="0"/>
    </xf>
    <xf numFmtId="0" fontId="105" fillId="0" borderId="0" xfId="0" applyFont="1" applyAlignment="1">
      <alignment horizontal="left" indent="1"/>
    </xf>
    <xf numFmtId="0" fontId="22" fillId="0" borderId="0" xfId="5" applyAlignment="1">
      <alignment horizontal="left" vertical="top"/>
    </xf>
    <xf numFmtId="14" fontId="82" fillId="0" borderId="2" xfId="3" applyNumberFormat="1" applyFont="1" applyFill="1" applyBorder="1">
      <alignment horizontal="center" vertical="center"/>
      <protection locked="0"/>
    </xf>
    <xf numFmtId="173" fontId="40" fillId="0" borderId="0" xfId="0" applyNumberFormat="1" applyFont="1" applyFill="1" applyAlignment="1">
      <alignment horizontal="center" vertical="center"/>
    </xf>
    <xf numFmtId="173" fontId="61" fillId="0" borderId="0" xfId="0" applyNumberFormat="1" applyFont="1" applyFill="1" applyBorder="1" applyAlignment="1">
      <alignment horizontal="left" vertical="center"/>
    </xf>
    <xf numFmtId="173" fontId="21" fillId="0" borderId="0" xfId="0" applyNumberFormat="1" applyFont="1" applyFill="1" applyAlignment="1">
      <alignment horizontal="right" vertical="center"/>
    </xf>
    <xf numFmtId="0" fontId="0" fillId="0" borderId="0" xfId="0" applyFill="1"/>
    <xf numFmtId="173" fontId="40" fillId="0" borderId="0" xfId="0" applyNumberFormat="1" applyFont="1" applyFill="1" applyAlignment="1">
      <alignment horizontal="left" vertical="center"/>
    </xf>
    <xf numFmtId="173" fontId="57" fillId="0" borderId="0" xfId="0" applyNumberFormat="1" applyFont="1" applyFill="1" applyAlignment="1">
      <alignment horizontal="center" vertical="center"/>
    </xf>
    <xf numFmtId="173" fontId="59" fillId="0" borderId="0" xfId="0" applyNumberFormat="1" applyFont="1" applyFill="1" applyAlignment="1">
      <alignment horizontal="center" vertical="center"/>
    </xf>
    <xf numFmtId="41" fontId="58" fillId="0" borderId="5" xfId="4" applyNumberFormat="1" applyFont="1" applyFill="1" applyBorder="1" applyAlignment="1">
      <alignment horizontal="right" vertical="center" indent="1"/>
      <protection locked="0"/>
    </xf>
    <xf numFmtId="173" fontId="60" fillId="0" borderId="0" xfId="0" applyNumberFormat="1" applyFont="1" applyFill="1" applyAlignment="1">
      <alignment horizontal="center" vertical="center"/>
    </xf>
    <xf numFmtId="41" fontId="58" fillId="0" borderId="0" xfId="4" applyNumberFormat="1" applyFont="1" applyFill="1" applyBorder="1" applyAlignment="1">
      <alignment horizontal="right" vertical="center" indent="1"/>
      <protection locked="0"/>
    </xf>
    <xf numFmtId="173" fontId="40" fillId="0" borderId="0" xfId="0" applyNumberFormat="1" applyFont="1" applyFill="1" applyAlignment="1">
      <alignment horizontal="left" vertical="center" indent="2"/>
    </xf>
    <xf numFmtId="41" fontId="56" fillId="0" borderId="0" xfId="4" applyNumberFormat="1" applyFont="1" applyFill="1" applyBorder="1" applyAlignment="1">
      <alignment horizontal="right" vertical="center" indent="1"/>
      <protection locked="0"/>
    </xf>
    <xf numFmtId="0" fontId="108" fillId="0" borderId="0" xfId="0" applyFont="1"/>
    <xf numFmtId="173" fontId="111" fillId="0" borderId="0" xfId="0" applyNumberFormat="1" applyFont="1" applyFill="1" applyAlignment="1">
      <alignment horizontal="center" vertical="center"/>
    </xf>
    <xf numFmtId="0" fontId="115" fillId="0" borderId="0" xfId="0" applyFont="1" applyAlignment="1">
      <alignment horizontal="right" indent="1"/>
    </xf>
    <xf numFmtId="41" fontId="58" fillId="0" borderId="21" xfId="4" applyNumberFormat="1" applyFont="1" applyFill="1" applyBorder="1" applyAlignment="1">
      <alignment horizontal="right" vertical="center" indent="1"/>
      <protection locked="0"/>
    </xf>
    <xf numFmtId="173" fontId="57" fillId="0" borderId="0" xfId="0" applyNumberFormat="1" applyFont="1" applyFill="1" applyBorder="1" applyAlignment="1">
      <alignment horizontal="center" vertical="center"/>
    </xf>
    <xf numFmtId="173" fontId="116" fillId="0" borderId="0" xfId="0" applyNumberFormat="1" applyFont="1" applyFill="1" applyAlignment="1">
      <alignment horizontal="center" vertical="center"/>
    </xf>
    <xf numFmtId="0" fontId="62" fillId="0" borderId="0" xfId="0" applyFont="1"/>
    <xf numFmtId="0" fontId="62" fillId="0" borderId="0" xfId="0" applyFont="1" applyAlignment="1">
      <alignment horizontal="right"/>
    </xf>
    <xf numFmtId="41" fontId="55" fillId="0" borderId="14" xfId="1" applyNumberFormat="1" applyFont="1" applyBorder="1" applyAlignment="1">
      <alignment vertical="center"/>
    </xf>
    <xf numFmtId="9" fontId="62" fillId="0" borderId="0" xfId="1" applyFont="1" applyBorder="1"/>
    <xf numFmtId="9" fontId="75" fillId="0" borderId="0" xfId="1" applyFont="1" applyAlignment="1">
      <alignment horizontal="right"/>
    </xf>
    <xf numFmtId="178" fontId="78" fillId="0" borderId="0" xfId="1" applyNumberFormat="1" applyFont="1" applyAlignment="1">
      <alignment horizontal="left"/>
    </xf>
    <xf numFmtId="0" fontId="62" fillId="0" borderId="0" xfId="0" applyFont="1" applyAlignment="1">
      <alignment horizontal="center" vertical="center"/>
    </xf>
    <xf numFmtId="173" fontId="62" fillId="0" borderId="0" xfId="0" applyNumberFormat="1" applyFont="1" applyFill="1" applyAlignment="1">
      <alignment horizontal="right" vertical="center"/>
    </xf>
    <xf numFmtId="173" fontId="117" fillId="0" borderId="0" xfId="0" applyNumberFormat="1" applyFont="1" applyFill="1" applyBorder="1" applyAlignment="1">
      <alignment horizontal="left" vertical="center" indent="2"/>
    </xf>
    <xf numFmtId="173" fontId="15" fillId="0" borderId="0" xfId="0" applyNumberFormat="1" applyFont="1" applyFill="1" applyAlignment="1">
      <alignment horizontal="left" vertical="center" indent="2"/>
    </xf>
    <xf numFmtId="176" fontId="112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182" fontId="118" fillId="0" borderId="0" xfId="0" applyNumberFormat="1" applyFont="1" applyAlignment="1">
      <alignment horizontal="left"/>
    </xf>
    <xf numFmtId="173" fontId="119" fillId="0" borderId="0" xfId="0" applyNumberFormat="1" applyFont="1" applyFill="1" applyBorder="1" applyAlignment="1">
      <alignment horizontal="left" vertical="top"/>
    </xf>
    <xf numFmtId="164" fontId="2" fillId="2" borderId="0" xfId="0" applyNumberFormat="1" applyFont="1" applyFill="1" applyBorder="1" applyAlignment="1" applyProtection="1">
      <alignment horizontal="center"/>
      <protection hidden="1"/>
    </xf>
    <xf numFmtId="164" fontId="4" fillId="2" borderId="0" xfId="0" applyNumberFormat="1" applyFont="1" applyFill="1" applyBorder="1" applyAlignment="1" applyProtection="1">
      <alignment horizontal="left"/>
      <protection hidden="1"/>
    </xf>
    <xf numFmtId="164" fontId="3" fillId="2" borderId="0" xfId="0" applyNumberFormat="1" applyFont="1" applyFill="1" applyBorder="1" applyAlignment="1" applyProtection="1">
      <alignment horizontal="left" vertical="center"/>
      <protection hidden="1"/>
    </xf>
    <xf numFmtId="164" fontId="5" fillId="2" borderId="0" xfId="0" applyNumberFormat="1" applyFont="1" applyFill="1" applyBorder="1" applyAlignment="1" applyProtection="1">
      <alignment horizontal="right"/>
      <protection hidden="1"/>
    </xf>
    <xf numFmtId="164" fontId="6" fillId="2" borderId="0" xfId="0" applyNumberFormat="1" applyFont="1" applyFill="1" applyBorder="1" applyAlignment="1" applyProtection="1">
      <alignment horizontal="center"/>
      <protection hidden="1"/>
    </xf>
    <xf numFmtId="164" fontId="39" fillId="2" borderId="0" xfId="0" applyNumberFormat="1" applyFont="1" applyFill="1" applyBorder="1" applyAlignment="1" applyProtection="1">
      <alignment horizontal="right"/>
      <protection hidden="1"/>
    </xf>
    <xf numFmtId="164" fontId="39" fillId="2" borderId="0" xfId="0" applyNumberFormat="1" applyFont="1" applyFill="1" applyBorder="1" applyAlignment="1" applyProtection="1">
      <alignment horizontal="left" indent="1"/>
      <protection hidden="1"/>
    </xf>
    <xf numFmtId="14" fontId="6" fillId="2" borderId="0" xfId="0" applyNumberFormat="1" applyFont="1" applyFill="1" applyBorder="1" applyAlignment="1" applyProtection="1">
      <alignment horizontal="center"/>
      <protection hidden="1"/>
    </xf>
    <xf numFmtId="4" fontId="6" fillId="2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164" fontId="5" fillId="0" borderId="0" xfId="0" applyNumberFormat="1" applyFont="1" applyFill="1" applyAlignment="1" applyProtection="1">
      <alignment horizontal="center"/>
      <protection hidden="1"/>
    </xf>
    <xf numFmtId="0" fontId="9" fillId="2" borderId="0" xfId="0" applyNumberFormat="1" applyFont="1" applyFill="1" applyBorder="1" applyAlignment="1" applyProtection="1">
      <alignment horizontal="center" vertical="center"/>
      <protection hidden="1"/>
    </xf>
    <xf numFmtId="164" fontId="9" fillId="2" borderId="0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NumberFormat="1" applyFont="1" applyFill="1" applyBorder="1" applyAlignment="1" applyProtection="1">
      <alignment horizontal="left" vertical="center" indent="2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Alignment="1" applyProtection="1">
      <alignment horizontal="left" indent="1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14" fontId="11" fillId="0" borderId="2" xfId="3" applyNumberFormat="1" applyFont="1" applyFill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indent="1"/>
      <protection hidden="1"/>
    </xf>
    <xf numFmtId="172" fontId="7" fillId="0" borderId="0" xfId="0" applyNumberFormat="1" applyFont="1" applyProtection="1">
      <protection hidden="1"/>
    </xf>
    <xf numFmtId="166" fontId="11" fillId="0" borderId="2" xfId="3" applyNumberFormat="1" applyFont="1" applyFill="1" applyProtection="1">
      <alignment horizontal="center" vertical="center"/>
      <protection hidden="1"/>
    </xf>
    <xf numFmtId="0" fontId="7" fillId="0" borderId="0" xfId="0" applyNumberFormat="1" applyFont="1" applyProtection="1">
      <protection hidden="1"/>
    </xf>
    <xf numFmtId="1" fontId="7" fillId="0" borderId="0" xfId="0" applyNumberFormat="1" applyFont="1" applyProtection="1"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14" fontId="7" fillId="0" borderId="0" xfId="0" applyNumberFormat="1" applyFont="1" applyProtection="1">
      <protection hidden="1"/>
    </xf>
    <xf numFmtId="0" fontId="19" fillId="0" borderId="0" xfId="0" applyFont="1" applyFill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left" vertical="center"/>
      <protection hidden="1"/>
    </xf>
    <xf numFmtId="167" fontId="11" fillId="0" borderId="2" xfId="3" applyNumberFormat="1" applyFont="1" applyFill="1" applyAlignment="1" applyProtection="1">
      <alignment horizontal="right" vertical="center" indent="1"/>
      <protection hidden="1"/>
    </xf>
    <xf numFmtId="14" fontId="10" fillId="0" borderId="0" xfId="0" applyNumberFormat="1" applyFont="1" applyAlignment="1" applyProtection="1">
      <alignment horizontal="center" vertical="center"/>
      <protection hidden="1"/>
    </xf>
    <xf numFmtId="0" fontId="10" fillId="0" borderId="3" xfId="0" applyNumberFormat="1" applyFont="1" applyBorder="1" applyAlignment="1" applyProtection="1">
      <alignment horizontal="center" vertical="center"/>
      <protection hidden="1"/>
    </xf>
    <xf numFmtId="168" fontId="11" fillId="0" borderId="2" xfId="1" applyNumberFormat="1" applyFont="1" applyFill="1" applyBorder="1" applyAlignment="1" applyProtection="1">
      <alignment horizontal="right" vertical="center" indent="1"/>
      <protection hidden="1"/>
    </xf>
    <xf numFmtId="10" fontId="7" fillId="0" borderId="0" xfId="1" applyNumberFormat="1" applyFont="1" applyFill="1" applyAlignment="1" applyProtection="1">
      <alignment horizontal="center" vertical="center"/>
      <protection hidden="1"/>
    </xf>
    <xf numFmtId="169" fontId="15" fillId="0" borderId="5" xfId="4" applyNumberFormat="1" applyFont="1" applyBorder="1" applyAlignment="1" applyProtection="1">
      <alignment horizontal="right" vertical="center" indent="1"/>
      <protection hidden="1"/>
    </xf>
    <xf numFmtId="0" fontId="7" fillId="0" borderId="0" xfId="0" applyFont="1" applyFill="1" applyAlignment="1" applyProtection="1">
      <alignment horizontal="left" indent="3"/>
      <protection hidden="1"/>
    </xf>
    <xf numFmtId="170" fontId="24" fillId="0" borderId="0" xfId="0" quotePrefix="1" applyNumberFormat="1" applyFont="1" applyProtection="1">
      <protection hidden="1"/>
    </xf>
    <xf numFmtId="0" fontId="7" fillId="0" borderId="0" xfId="0" quotePrefix="1" applyFont="1" applyFill="1" applyAlignment="1" applyProtection="1">
      <alignment horizontal="center" vertical="center"/>
      <protection hidden="1"/>
    </xf>
    <xf numFmtId="168" fontId="16" fillId="0" borderId="0" xfId="1" applyNumberFormat="1" applyFont="1" applyFill="1" applyAlignment="1" applyProtection="1">
      <alignment horizontal="right" vertical="center" indent="1"/>
      <protection hidden="1"/>
    </xf>
    <xf numFmtId="0" fontId="8" fillId="0" borderId="0" xfId="0" applyFont="1" applyProtection="1"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right" vertical="top"/>
      <protection hidden="1"/>
    </xf>
    <xf numFmtId="0" fontId="10" fillId="0" borderId="0" xfId="0" applyFont="1" applyFill="1" applyBorder="1" applyAlignment="1" applyProtection="1">
      <alignment horizontal="center" vertical="top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Protection="1">
      <protection hidden="1"/>
    </xf>
    <xf numFmtId="9" fontId="7" fillId="0" borderId="0" xfId="1" applyFont="1" applyFill="1" applyBorder="1" applyAlignment="1" applyProtection="1">
      <alignment horizontal="center" vertical="center"/>
      <protection hidden="1"/>
    </xf>
    <xf numFmtId="165" fontId="11" fillId="0" borderId="2" xfId="0" applyNumberFormat="1" applyFont="1" applyFill="1" applyBorder="1" applyAlignment="1" applyProtection="1">
      <alignment horizontal="right" vertical="center" indent="1"/>
      <protection hidden="1"/>
    </xf>
    <xf numFmtId="170" fontId="11" fillId="0" borderId="2" xfId="1" applyNumberFormat="1" applyFont="1" applyFill="1" applyBorder="1" applyAlignment="1" applyProtection="1">
      <alignment horizontal="right" vertical="center" indent="1"/>
      <protection hidden="1"/>
    </xf>
    <xf numFmtId="9" fontId="5" fillId="0" borderId="0" xfId="1" applyFont="1" applyAlignment="1" applyProtection="1">
      <alignment horizontal="center" vertical="center"/>
      <protection hidden="1"/>
    </xf>
    <xf numFmtId="3" fontId="8" fillId="0" borderId="0" xfId="0" applyNumberFormat="1" applyFont="1" applyProtection="1">
      <protection hidden="1"/>
    </xf>
    <xf numFmtId="0" fontId="7" fillId="0" borderId="0" xfId="0" applyFont="1" applyFill="1" applyBorder="1" applyAlignment="1" applyProtection="1">
      <alignment horizontal="left" indent="1"/>
      <protection hidden="1"/>
    </xf>
    <xf numFmtId="165" fontId="11" fillId="0" borderId="0" xfId="0" applyNumberFormat="1" applyFont="1" applyFill="1" applyBorder="1" applyAlignment="1" applyProtection="1">
      <alignment horizontal="right" vertical="center" indent="1"/>
      <protection hidden="1"/>
    </xf>
    <xf numFmtId="170" fontId="11" fillId="0" borderId="0" xfId="1" applyNumberFormat="1" applyFont="1" applyFill="1" applyBorder="1" applyAlignment="1" applyProtection="1">
      <alignment horizontal="right" vertical="center" indent="1"/>
      <protection hidden="1"/>
    </xf>
    <xf numFmtId="41" fontId="15" fillId="0" borderId="5" xfId="4" applyNumberFormat="1" applyFont="1" applyBorder="1" applyAlignment="1" applyProtection="1">
      <alignment horizontal="right" vertical="center" indent="1"/>
      <protection hidden="1"/>
    </xf>
    <xf numFmtId="9" fontId="37" fillId="0" borderId="0" xfId="0" applyNumberFormat="1" applyFont="1" applyProtection="1">
      <protection hidden="1"/>
    </xf>
    <xf numFmtId="3" fontId="7" fillId="0" borderId="0" xfId="0" applyNumberFormat="1" applyFont="1" applyProtection="1">
      <protection hidden="1"/>
    </xf>
    <xf numFmtId="3" fontId="7" fillId="0" borderId="0" xfId="0" applyNumberFormat="1" applyFont="1" applyAlignment="1" applyProtection="1">
      <alignment horizontal="left" indent="1"/>
      <protection hidden="1"/>
    </xf>
    <xf numFmtId="3" fontId="36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170" fontId="15" fillId="0" borderId="5" xfId="4" applyNumberFormat="1" applyFont="1" applyBorder="1" applyAlignment="1" applyProtection="1">
      <alignment horizontal="right" vertical="center" indent="1"/>
      <protection hidden="1"/>
    </xf>
    <xf numFmtId="3" fontId="36" fillId="0" borderId="0" xfId="0" applyNumberFormat="1" applyFont="1" applyFill="1" applyBorder="1" applyAlignment="1" applyProtection="1">
      <alignment horizontal="center" vertical="center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indent="1"/>
      <protection hidden="1"/>
    </xf>
    <xf numFmtId="9" fontId="37" fillId="0" borderId="0" xfId="0" applyNumberFormat="1" applyFont="1" applyFill="1" applyProtection="1">
      <protection hidden="1"/>
    </xf>
    <xf numFmtId="41" fontId="15" fillId="0" borderId="5" xfId="4" applyNumberFormat="1" applyFont="1" applyFill="1" applyBorder="1" applyAlignment="1" applyProtection="1">
      <alignment horizontal="right" vertical="center" indent="1"/>
      <protection hidden="1"/>
    </xf>
    <xf numFmtId="170" fontId="15" fillId="0" borderId="5" xfId="4" applyNumberFormat="1" applyFont="1" applyFill="1" applyBorder="1" applyAlignment="1" applyProtection="1">
      <alignment horizontal="right" vertical="center" indent="1"/>
      <protection hidden="1"/>
    </xf>
    <xf numFmtId="0" fontId="8" fillId="0" borderId="0" xfId="0" applyFont="1" applyFill="1" applyAlignment="1" applyProtection="1">
      <alignment horizontal="left" indent="1"/>
      <protection hidden="1"/>
    </xf>
    <xf numFmtId="0" fontId="8" fillId="0" borderId="0" xfId="0" applyFont="1" applyAlignment="1" applyProtection="1">
      <alignment horizontal="left" indent="1"/>
      <protection hidden="1"/>
    </xf>
    <xf numFmtId="3" fontId="8" fillId="0" borderId="0" xfId="0" applyNumberFormat="1" applyFont="1" applyAlignment="1" applyProtection="1">
      <alignment horizontal="left" indent="1"/>
      <protection hidden="1"/>
    </xf>
    <xf numFmtId="41" fontId="15" fillId="0" borderId="0" xfId="4" applyNumberFormat="1" applyFont="1" applyBorder="1" applyAlignment="1" applyProtection="1">
      <alignment horizontal="right" vertical="center" indent="1"/>
      <protection hidden="1"/>
    </xf>
    <xf numFmtId="170" fontId="15" fillId="0" borderId="0" xfId="4" applyNumberFormat="1" applyFont="1" applyBorder="1" applyAlignment="1" applyProtection="1">
      <alignment horizontal="right" vertical="center" indent="1"/>
      <protection hidden="1"/>
    </xf>
    <xf numFmtId="0" fontId="18" fillId="0" borderId="0" xfId="0" applyFont="1" applyProtection="1">
      <protection hidden="1"/>
    </xf>
    <xf numFmtId="9" fontId="55" fillId="0" borderId="0" xfId="1" applyFont="1" applyBorder="1" applyAlignment="1" applyProtection="1">
      <alignment horizontal="center" vertical="center"/>
      <protection hidden="1"/>
    </xf>
    <xf numFmtId="0" fontId="47" fillId="0" borderId="0" xfId="0" applyFont="1" applyProtection="1">
      <protection hidden="1"/>
    </xf>
    <xf numFmtId="0" fontId="48" fillId="0" borderId="0" xfId="0" applyFont="1" applyProtection="1">
      <protection hidden="1"/>
    </xf>
    <xf numFmtId="9" fontId="47" fillId="0" borderId="0" xfId="1" applyFont="1" applyFill="1" applyBorder="1" applyAlignment="1" applyProtection="1">
      <alignment horizontal="center" vertical="center"/>
      <protection hidden="1"/>
    </xf>
    <xf numFmtId="165" fontId="49" fillId="0" borderId="0" xfId="0" applyNumberFormat="1" applyFont="1" applyFill="1" applyBorder="1" applyAlignment="1" applyProtection="1">
      <alignment horizontal="right" vertical="center" indent="1"/>
      <protection hidden="1"/>
    </xf>
    <xf numFmtId="170" fontId="51" fillId="0" borderId="0" xfId="4" applyNumberFormat="1" applyFont="1" applyBorder="1" applyAlignment="1" applyProtection="1">
      <alignment horizontal="right" vertical="center" indent="1"/>
      <protection hidden="1"/>
    </xf>
    <xf numFmtId="9" fontId="50" fillId="0" borderId="0" xfId="1" applyFont="1" applyAlignment="1" applyProtection="1">
      <alignment horizontal="center" vertical="center"/>
      <protection hidden="1"/>
    </xf>
    <xf numFmtId="41" fontId="51" fillId="0" borderId="5" xfId="4" applyNumberFormat="1" applyFont="1" applyBorder="1" applyAlignment="1" applyProtection="1">
      <alignment horizontal="right" vertical="center" indent="1"/>
      <protection hidden="1"/>
    </xf>
    <xf numFmtId="176" fontId="15" fillId="0" borderId="5" xfId="4" applyNumberFormat="1" applyFont="1" applyBorder="1" applyAlignment="1" applyProtection="1">
      <alignment horizontal="right" vertical="center" indent="1"/>
      <protection hidden="1"/>
    </xf>
    <xf numFmtId="41" fontId="17" fillId="0" borderId="5" xfId="4" applyNumberFormat="1" applyFont="1" applyBorder="1" applyAlignment="1" applyProtection="1">
      <alignment horizontal="right" vertical="center" indent="1"/>
      <protection hidden="1"/>
    </xf>
    <xf numFmtId="0" fontId="8" fillId="0" borderId="0" xfId="0" applyFont="1" applyFill="1" applyBorder="1" applyAlignment="1" applyProtection="1">
      <alignment horizontal="left" indent="1"/>
      <protection hidden="1"/>
    </xf>
    <xf numFmtId="3" fontId="7" fillId="0" borderId="0" xfId="0" applyNumberFormat="1" applyFont="1" applyFill="1" applyBorder="1" applyProtection="1">
      <protection hidden="1"/>
    </xf>
    <xf numFmtId="9" fontId="8" fillId="0" borderId="0" xfId="1" applyFont="1" applyProtection="1">
      <protection hidden="1"/>
    </xf>
    <xf numFmtId="9" fontId="5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/>
      <protection hidden="1"/>
    </xf>
    <xf numFmtId="41" fontId="51" fillId="0" borderId="0" xfId="4" applyNumberFormat="1" applyFont="1" applyBorder="1" applyAlignment="1" applyProtection="1">
      <alignment horizontal="right" vertical="center" indent="1"/>
      <protection hidden="1"/>
    </xf>
    <xf numFmtId="9" fontId="47" fillId="0" borderId="0" xfId="1" applyFont="1" applyProtection="1">
      <protection hidden="1"/>
    </xf>
    <xf numFmtId="41" fontId="53" fillId="0" borderId="0" xfId="4" applyNumberFormat="1" applyFont="1" applyBorder="1" applyAlignment="1" applyProtection="1">
      <alignment horizontal="right" vertical="center" indent="1"/>
      <protection hidden="1"/>
    </xf>
    <xf numFmtId="0" fontId="0" fillId="0" borderId="0" xfId="0" applyProtection="1">
      <protection hidden="1"/>
    </xf>
    <xf numFmtId="0" fontId="20" fillId="0" borderId="0" xfId="0" applyFont="1" applyAlignment="1" applyProtection="1">
      <alignment horizontal="right" vertical="center" indent="1"/>
      <protection hidden="1"/>
    </xf>
    <xf numFmtId="41" fontId="28" fillId="0" borderId="0" xfId="0" applyNumberFormat="1" applyFont="1" applyProtection="1">
      <protection hidden="1"/>
    </xf>
    <xf numFmtId="0" fontId="54" fillId="0" borderId="0" xfId="0" applyFont="1" applyAlignment="1" applyProtection="1">
      <alignment horizontal="center"/>
      <protection hidden="1"/>
    </xf>
    <xf numFmtId="165" fontId="20" fillId="0" borderId="0" xfId="4" applyNumberFormat="1" applyFont="1" applyBorder="1" applyAlignment="1" applyProtection="1">
      <alignment horizontal="right" vertical="center" indent="1"/>
      <protection hidden="1"/>
    </xf>
    <xf numFmtId="173" fontId="40" fillId="0" borderId="0" xfId="0" applyNumberFormat="1" applyFont="1" applyFill="1" applyAlignment="1" applyProtection="1">
      <alignment horizontal="center" vertical="center"/>
      <protection hidden="1"/>
    </xf>
    <xf numFmtId="173" fontId="61" fillId="0" borderId="0" xfId="0" applyNumberFormat="1" applyFont="1" applyFill="1" applyBorder="1" applyAlignment="1" applyProtection="1">
      <alignment horizontal="left" vertical="center"/>
      <protection hidden="1"/>
    </xf>
    <xf numFmtId="173" fontId="21" fillId="0" borderId="0" xfId="0" applyNumberFormat="1" applyFont="1" applyFill="1" applyAlignment="1" applyProtection="1">
      <alignment horizontal="right" vertical="center"/>
      <protection hidden="1"/>
    </xf>
    <xf numFmtId="173" fontId="112" fillId="0" borderId="0" xfId="0" applyNumberFormat="1" applyFont="1" applyFill="1" applyBorder="1" applyAlignment="1" applyProtection="1">
      <alignment horizontal="left" vertical="center"/>
      <protection hidden="1"/>
    </xf>
    <xf numFmtId="173" fontId="111" fillId="0" borderId="0" xfId="0" applyNumberFormat="1" applyFont="1" applyFill="1" applyAlignment="1" applyProtection="1">
      <alignment horizontal="center" vertical="center"/>
      <protection hidden="1"/>
    </xf>
    <xf numFmtId="173" fontId="116" fillId="0" borderId="0" xfId="0" applyNumberFormat="1" applyFont="1" applyFill="1" applyAlignment="1" applyProtection="1">
      <alignment horizontal="left" vertical="center" indent="2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73" fontId="116" fillId="0" borderId="0" xfId="0" applyNumberFormat="1" applyFont="1" applyFill="1" applyAlignment="1" applyProtection="1">
      <alignment horizontal="center" vertical="center"/>
      <protection hidden="1"/>
    </xf>
    <xf numFmtId="173" fontId="40" fillId="0" borderId="0" xfId="0" applyNumberFormat="1" applyFont="1" applyFill="1" applyAlignment="1" applyProtection="1">
      <alignment horizontal="left" vertical="center"/>
      <protection hidden="1"/>
    </xf>
    <xf numFmtId="173" fontId="59" fillId="0" borderId="0" xfId="0" applyNumberFormat="1" applyFont="1" applyFill="1" applyAlignment="1" applyProtection="1">
      <alignment horizontal="center" vertical="center"/>
      <protection hidden="1"/>
    </xf>
    <xf numFmtId="173" fontId="57" fillId="0" borderId="0" xfId="0" applyNumberFormat="1" applyFont="1" applyFill="1" applyAlignment="1" applyProtection="1">
      <alignment horizontal="center" vertical="center"/>
      <protection hidden="1"/>
    </xf>
    <xf numFmtId="173" fontId="55" fillId="0" borderId="0" xfId="0" applyNumberFormat="1" applyFont="1" applyFill="1" applyBorder="1" applyAlignment="1" applyProtection="1">
      <alignment horizontal="left" vertical="center" indent="2"/>
      <protection hidden="1"/>
    </xf>
    <xf numFmtId="173" fontId="21" fillId="0" borderId="0" xfId="0" applyNumberFormat="1" applyFont="1" applyFill="1" applyBorder="1" applyAlignment="1" applyProtection="1">
      <alignment horizontal="right" vertical="center"/>
      <protection hidden="1"/>
    </xf>
    <xf numFmtId="173" fontId="58" fillId="0" borderId="0" xfId="0" applyNumberFormat="1" applyFont="1" applyFill="1" applyBorder="1" applyAlignment="1" applyProtection="1">
      <alignment horizontal="center" vertical="center"/>
      <protection hidden="1"/>
    </xf>
    <xf numFmtId="173" fontId="57" fillId="0" borderId="0" xfId="0" applyNumberFormat="1" applyFont="1" applyFill="1" applyBorder="1" applyAlignment="1" applyProtection="1">
      <alignment horizontal="center" vertical="center"/>
      <protection hidden="1"/>
    </xf>
    <xf numFmtId="41" fontId="58" fillId="0" borderId="21" xfId="4" applyNumberFormat="1" applyFont="1" applyFill="1" applyBorder="1" applyAlignment="1" applyProtection="1">
      <alignment horizontal="right" vertical="center" indent="1"/>
      <protection hidden="1"/>
    </xf>
    <xf numFmtId="41" fontId="58" fillId="0" borderId="5" xfId="4" applyNumberFormat="1" applyFont="1" applyFill="1" applyBorder="1" applyAlignment="1" applyProtection="1">
      <alignment horizontal="right" vertical="center" indent="1"/>
      <protection hidden="1"/>
    </xf>
    <xf numFmtId="173" fontId="106" fillId="0" borderId="0" xfId="0" applyNumberFormat="1" applyFont="1" applyFill="1" applyBorder="1" applyAlignment="1" applyProtection="1">
      <alignment horizontal="right" vertical="center"/>
      <protection hidden="1"/>
    </xf>
    <xf numFmtId="173" fontId="107" fillId="0" borderId="0" xfId="0" applyNumberFormat="1" applyFont="1" applyFill="1" applyAlignment="1" applyProtection="1">
      <alignment horizontal="center" vertical="center"/>
      <protection hidden="1"/>
    </xf>
    <xf numFmtId="41" fontId="46" fillId="0" borderId="0" xfId="4" applyNumberFormat="1" applyFont="1" applyFill="1" applyBorder="1" applyAlignment="1" applyProtection="1">
      <alignment horizontal="right" vertical="center" indent="1"/>
      <protection hidden="1"/>
    </xf>
    <xf numFmtId="0" fontId="0" fillId="0" borderId="0" xfId="0" applyFill="1" applyProtection="1">
      <protection hidden="1"/>
    </xf>
    <xf numFmtId="173" fontId="60" fillId="0" borderId="0" xfId="0" applyNumberFormat="1" applyFont="1" applyFill="1" applyAlignment="1" applyProtection="1">
      <alignment horizontal="center" vertical="center"/>
      <protection hidden="1"/>
    </xf>
    <xf numFmtId="173" fontId="40" fillId="0" borderId="0" xfId="0" applyNumberFormat="1" applyFont="1" applyFill="1" applyAlignment="1" applyProtection="1">
      <alignment horizontal="left" vertical="center" indent="2"/>
      <protection hidden="1"/>
    </xf>
    <xf numFmtId="41" fontId="56" fillId="0" borderId="5" xfId="4" applyNumberFormat="1" applyFont="1" applyFill="1" applyBorder="1" applyAlignment="1" applyProtection="1">
      <alignment horizontal="right" vertical="center" indent="1"/>
      <protection hidden="1"/>
    </xf>
    <xf numFmtId="9" fontId="114" fillId="0" borderId="0" xfId="1" applyFont="1" applyFill="1" applyAlignment="1" applyProtection="1">
      <alignment horizontal="left" vertical="center" indent="1"/>
      <protection hidden="1"/>
    </xf>
    <xf numFmtId="41" fontId="107" fillId="0" borderId="5" xfId="4" applyNumberFormat="1" applyFont="1" applyFill="1" applyBorder="1" applyAlignment="1" applyProtection="1">
      <alignment horizontal="right" vertical="center" indent="1"/>
      <protection hidden="1"/>
    </xf>
    <xf numFmtId="0" fontId="101" fillId="0" borderId="0" xfId="0" applyFont="1" applyAlignment="1">
      <alignment horizontal="left" vertical="center" wrapText="1"/>
    </xf>
    <xf numFmtId="0" fontId="101" fillId="0" borderId="0" xfId="0" applyFont="1" applyAlignment="1">
      <alignment horizontal="left" vertical="center"/>
    </xf>
    <xf numFmtId="0" fontId="65" fillId="9" borderId="0" xfId="0" applyFont="1" applyFill="1" applyBorder="1" applyAlignment="1">
      <alignment horizontal="center" vertical="center" wrapText="1"/>
    </xf>
    <xf numFmtId="0" fontId="65" fillId="9" borderId="0" xfId="0" applyFont="1" applyFill="1" applyBorder="1" applyAlignment="1">
      <alignment horizontal="center" vertical="center"/>
    </xf>
    <xf numFmtId="170" fontId="84" fillId="0" borderId="17" xfId="1" applyNumberFormat="1" applyFont="1" applyFill="1" applyBorder="1" applyAlignment="1" applyProtection="1">
      <alignment horizontal="center" vertical="center"/>
      <protection locked="0"/>
    </xf>
    <xf numFmtId="170" fontId="84" fillId="0" borderId="8" xfId="1" applyNumberFormat="1" applyFont="1" applyFill="1" applyBorder="1" applyAlignment="1" applyProtection="1">
      <alignment horizontal="center" vertical="center"/>
      <protection locked="0"/>
    </xf>
    <xf numFmtId="170" fontId="84" fillId="4" borderId="17" xfId="1" applyNumberFormat="1" applyFont="1" applyFill="1" applyBorder="1" applyAlignment="1" applyProtection="1">
      <alignment horizontal="center" vertical="center"/>
      <protection locked="0"/>
    </xf>
    <xf numFmtId="170" fontId="84" fillId="4" borderId="8" xfId="1" applyNumberFormat="1" applyFont="1" applyFill="1" applyBorder="1" applyAlignment="1" applyProtection="1">
      <alignment horizontal="center" vertical="center"/>
      <protection locked="0"/>
    </xf>
    <xf numFmtId="164" fontId="38" fillId="2" borderId="0" xfId="0" applyNumberFormat="1" applyFont="1" applyFill="1" applyBorder="1" applyAlignment="1">
      <alignment horizontal="left" vertical="center" wrapText="1" indent="2"/>
    </xf>
    <xf numFmtId="164" fontId="38" fillId="2" borderId="0" xfId="0" applyNumberFormat="1" applyFont="1" applyFill="1" applyBorder="1" applyAlignment="1" applyProtection="1">
      <alignment horizontal="left" vertical="center" wrapText="1" indent="2"/>
      <protection hidden="1"/>
    </xf>
    <xf numFmtId="0" fontId="81" fillId="0" borderId="0" xfId="0" applyFont="1" applyAlignment="1">
      <alignment horizontal="left" vertical="center"/>
    </xf>
  </cellXfs>
  <cellStyles count="14">
    <cellStyle name="Blank reference" xfId="10" xr:uid="{14079919-9A17-47A4-B6C4-285E2AE31EEB}"/>
    <cellStyle name="Formula" xfId="8" xr:uid="{6A88361B-460B-4770-A027-5BD95FD60042}"/>
    <cellStyle name="Formula 0.0" xfId="9" xr:uid="{0D344B22-7A61-4E9E-A01B-9711E9E9CFB7}"/>
    <cellStyle name="Formula 0.0%" xfId="4" xr:uid="{15E9CD2E-E4BC-49EA-BBD8-B93C1462820D}"/>
    <cellStyle name="Header" xfId="2" xr:uid="{D1EADDF7-7BDD-48C5-BF9C-466DEF170816}"/>
    <cellStyle name="Header2" xfId="11" xr:uid="{96C72E89-A111-4BEB-A137-B0B9F0259315}"/>
    <cellStyle name="Input cell cnst" xfId="3" xr:uid="{91AA3B3E-28FC-45BE-AA36-4E24D9CA98EA}"/>
    <cellStyle name="Subsection" xfId="7" xr:uid="{8802B761-39EA-4D10-9544-87E80B491A0F}"/>
    <cellStyle name="Гиперссылка" xfId="5" builtinId="8"/>
    <cellStyle name="Обычный" xfId="0" builtinId="0"/>
    <cellStyle name="Обычный 140 3 2" xfId="13" xr:uid="{74711263-EEFC-455F-A65B-4081FE0446DB}"/>
    <cellStyle name="Обычный 2" xfId="6" xr:uid="{00000000-0005-0000-0000-000033000000}"/>
    <cellStyle name="Обычный 2 2" xfId="12" xr:uid="{3530E444-C9CD-4CE1-A9CE-DB365CFC7876}"/>
    <cellStyle name="Процентный" xfId="1" builtinId="5"/>
  </cellStyles>
  <dxfs count="112">
    <dxf>
      <font>
        <color rgb="FFC65911"/>
      </font>
    </dxf>
    <dxf>
      <border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FF3300"/>
      </font>
      <fill>
        <patternFill patternType="solid">
          <bgColor rgb="FFA0A5B8"/>
        </patternFill>
      </fill>
    </dxf>
    <dxf>
      <font>
        <color theme="5" tint="-0.24994659260841701"/>
      </font>
    </dxf>
    <dxf>
      <font>
        <color theme="9" tint="0.39994506668294322"/>
      </font>
      <fill>
        <patternFill patternType="none">
          <bgColor auto="1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theme="9" tint="0.39994506668294322"/>
      </font>
      <fill>
        <patternFill patternType="none">
          <bgColor auto="1"/>
        </patternFill>
      </fill>
    </dxf>
    <dxf>
      <font>
        <color theme="5" tint="-0.24994659260841701"/>
      </font>
      <fill>
        <patternFill patternType="none">
          <bgColor auto="1"/>
        </patternFill>
      </fill>
    </dxf>
    <dxf>
      <font>
        <color theme="9" tint="0.39994506668294322"/>
      </font>
      <fill>
        <patternFill patternType="solid"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 patternType="solid"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3300"/>
      </font>
      <fill>
        <patternFill patternType="solid">
          <bgColor rgb="FFA0A5B8"/>
        </patternFill>
      </fill>
    </dxf>
    <dxf>
      <border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  <vertical/>
        <horizontal/>
      </border>
    </dxf>
    <dxf>
      <font>
        <color rgb="FFFF3300"/>
      </font>
      <fill>
        <patternFill patternType="solid">
          <bgColor rgb="FFA0A5B8"/>
        </patternFill>
      </fill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7CE"/>
        </patternFill>
      </fill>
    </dxf>
    <dxf>
      <font>
        <color rgb="FFFF3300"/>
      </font>
      <fill>
        <patternFill patternType="solid">
          <bgColor rgb="FFA0A5B8"/>
        </patternFill>
      </fill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5" tint="-0.24994659260841701"/>
      </font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7CE"/>
        </patternFill>
      </fill>
    </dxf>
    <dxf>
      <font>
        <b val="0"/>
        <i val="0"/>
        <color theme="0" tint="-0.499984740745262"/>
      </font>
      <fill>
        <patternFill patternType="lightUp">
          <fgColor theme="0" tint="-0.14996795556505021"/>
          <bgColor rgb="FF57D3FF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5" tint="-0.24994659260841701"/>
      </font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7C7A7"/>
      <color rgb="FFFFFF99"/>
      <color rgb="FFE2EFDA"/>
      <color rgb="FFFFFFCC"/>
      <color rgb="FFA7ABBD"/>
      <color rgb="FF8086A0"/>
      <color rgb="FFC65911"/>
      <color rgb="FF000000"/>
      <color rgb="FFE9EAEF"/>
      <color rgb="FF4F54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100094533885112"/>
          <c:y val="3.651591289782256E-3"/>
          <c:w val="0.6330396785276704"/>
          <c:h val="0.88047597982836434"/>
        </c:manualLayout>
      </c:layout>
      <c:lineChart>
        <c:grouping val="standard"/>
        <c:varyColors val="0"/>
        <c:ser>
          <c:idx val="0"/>
          <c:order val="0"/>
          <c:tx>
            <c:strRef>
              <c:f>Расчет!$C$276</c:f>
              <c:strCache>
                <c:ptCount val="1"/>
                <c:pt idx="0">
                  <c:v> НИОКР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Расчет!$H$276:$S$276</c:f>
              <c:numCache>
                <c:formatCode>_(* #,##0_);_(* \(#,##0\);_(* "-"_);_(@_)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#N/A</c:v>
                </c:pt>
                <c:pt idx="6">
                  <c:v>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9-4F92-9A7E-EC4F1CF547B2}"/>
            </c:ext>
          </c:extLst>
        </c:ser>
        <c:ser>
          <c:idx val="1"/>
          <c:order val="1"/>
          <c:tx>
            <c:strRef>
              <c:f>Расчет!$C$277</c:f>
              <c:strCache>
                <c:ptCount val="1"/>
                <c:pt idx="0">
                  <c:v> Участие в выставках, конференциях, бизнес-миссиях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Расчет!$H$277:$S$277</c:f>
              <c:numCache>
                <c:formatCode>_(* #,##0_);_(* \(#,##0\);_(* "-"_);_(@_)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9-4F92-9A7E-EC4F1CF547B2}"/>
            </c:ext>
          </c:extLst>
        </c:ser>
        <c:ser>
          <c:idx val="2"/>
          <c:order val="2"/>
          <c:tx>
            <c:strRef>
              <c:f>Расчет!$C$278</c:f>
              <c:strCache>
                <c:ptCount val="1"/>
                <c:pt idx="0">
                  <c:v> Закупка основных средств: земельный участок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Расчет!$H$278:$S$278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29-4F92-9A7E-EC4F1CF547B2}"/>
            </c:ext>
          </c:extLst>
        </c:ser>
        <c:ser>
          <c:idx val="3"/>
          <c:order val="3"/>
          <c:tx>
            <c:strRef>
              <c:f>Расчет!$C$279</c:f>
              <c:strCache>
                <c:ptCount val="1"/>
                <c:pt idx="0">
                  <c:v> Оплата труда персонала и услуг сторонних организаций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Расчет!$H$279:$S$279</c:f>
              <c:numCache>
                <c:formatCode>_(* #,##0_);_(* \(#,##0\);_(* "-"_);_(@_)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29-4F92-9A7E-EC4F1CF547B2}"/>
            </c:ext>
          </c:extLst>
        </c:ser>
        <c:ser>
          <c:idx val="4"/>
          <c:order val="4"/>
          <c:tx>
            <c:strRef>
              <c:f>Расчет!$C$280</c:f>
              <c:strCache>
                <c:ptCount val="1"/>
                <c:pt idx="0">
                  <c:v> Адаптация продукта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Расчет!$H$280:$S$280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</c:v>
                </c:pt>
                <c:pt idx="6">
                  <c:v>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29-4F92-9A7E-EC4F1CF547B2}"/>
            </c:ext>
          </c:extLst>
        </c:ser>
        <c:ser>
          <c:idx val="5"/>
          <c:order val="5"/>
          <c:tx>
            <c:strRef>
              <c:f>Расчет!$C$281</c:f>
              <c:strCache>
                <c:ptCount val="1"/>
                <c:pt idx="0">
                  <c:v> Закупка основных средств: оборудование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Расчет!$H$281:$S$281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6</c:v>
                </c:pt>
                <c:pt idx="4">
                  <c:v>#N/A</c:v>
                </c:pt>
                <c:pt idx="5">
                  <c:v>6</c:v>
                </c:pt>
                <c:pt idx="6">
                  <c:v>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29-4F92-9A7E-EC4F1CF547B2}"/>
            </c:ext>
          </c:extLst>
        </c:ser>
        <c:ser>
          <c:idx val="6"/>
          <c:order val="6"/>
          <c:tx>
            <c:strRef>
              <c:f>Расчет!$C$282</c:f>
              <c:strCache>
                <c:ptCount val="1"/>
                <c:pt idx="0">
                  <c:v> Тестовая партия (испытания, рекламные акции)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Расчет!$H$282:$S$282</c:f>
              <c:numCache>
                <c:formatCode>_(* #,##0_);_(* \(#,##0\);_(* "-"_);_(@_)</c:formatCode>
                <c:ptCount val="12"/>
                <c:pt idx="0">
                  <c:v>7</c:v>
                </c:pt>
                <c:pt idx="1">
                  <c:v>#N/A</c:v>
                </c:pt>
                <c:pt idx="2">
                  <c:v>7</c:v>
                </c:pt>
                <c:pt idx="3">
                  <c:v>#N/A</c:v>
                </c:pt>
                <c:pt idx="4">
                  <c:v>7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29-4F92-9A7E-EC4F1CF547B2}"/>
            </c:ext>
          </c:extLst>
        </c:ser>
        <c:ser>
          <c:idx val="7"/>
          <c:order val="7"/>
          <c:tx>
            <c:strRef>
              <c:f>Расчет!$C$283</c:f>
              <c:strCache>
                <c:ptCount val="1"/>
                <c:pt idx="0">
                  <c:v> Подготовка рекламных материалов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Расчет!$H$283:$S$283</c:f>
              <c:numCache>
                <c:formatCode>_(* #,##0_);_(* \(#,##0\);_(* "-"_);_(@_)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29-4F92-9A7E-EC4F1CF547B2}"/>
            </c:ext>
          </c:extLst>
        </c:ser>
        <c:ser>
          <c:idx val="8"/>
          <c:order val="8"/>
          <c:tx>
            <c:strRef>
              <c:f>Расчет!$C$284</c:f>
              <c:strCache>
                <c:ptCount val="1"/>
                <c:pt idx="0">
                  <c:v> Закупка основных средств: помещение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Расчет!$H$284:$S$284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29-4F92-9A7E-EC4F1CF547B2}"/>
            </c:ext>
          </c:extLst>
        </c:ser>
        <c:ser>
          <c:idx val="9"/>
          <c:order val="9"/>
          <c:tx>
            <c:strRef>
              <c:f>Расчет!$C$285</c:f>
              <c:strCache>
                <c:ptCount val="1"/>
                <c:pt idx="0">
                  <c:v> Анализ рынка продукта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Расчет!$H$285:$S$285</c:f>
              <c:numCache>
                <c:formatCode>_(* #,##0_);_(* \(#,##0\);_(* "-"_);_(@_)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929-4F92-9A7E-EC4F1CF547B2}"/>
            </c:ext>
          </c:extLst>
        </c:ser>
        <c:ser>
          <c:idx val="10"/>
          <c:order val="10"/>
          <c:tx>
            <c:strRef>
              <c:f>Расчет!$C$286</c:f>
              <c:strCache>
                <c:ptCount val="1"/>
                <c:pt idx="0">
                  <c:v> Пусковые расходы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Расчет!$H$286:$S$286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11</c:v>
                </c:pt>
                <c:pt idx="6">
                  <c:v>11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29-4F92-9A7E-EC4F1CF547B2}"/>
            </c:ext>
          </c:extLst>
        </c:ser>
        <c:ser>
          <c:idx val="11"/>
          <c:order val="11"/>
          <c:tx>
            <c:strRef>
              <c:f>Расчет!$C$287</c:f>
              <c:strCache>
                <c:ptCount val="1"/>
                <c:pt idx="0">
                  <c:v> Расходы на подготовку производства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Расчет!$H$287:$S$287</c:f>
              <c:numCache>
                <c:formatCode>_(* #,##0_);_(* \(#,##0\);_(* "-"_);_(@_)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929-4F92-9A7E-EC4F1CF547B2}"/>
            </c:ext>
          </c:extLst>
        </c:ser>
        <c:ser>
          <c:idx val="12"/>
          <c:order val="12"/>
          <c:tx>
            <c:strRef>
              <c:f>Расчет!$C$288</c:f>
              <c:strCache>
                <c:ptCount val="1"/>
                <c:pt idx="0">
                  <c:v> Защита исключительных прав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Расчет!$H$288:$S$288</c:f>
              <c:numCache>
                <c:formatCode>_(* #,##0_);_(* \(#,##0\);_(* "-"_);_(@_)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929-4F92-9A7E-EC4F1CF547B2}"/>
            </c:ext>
          </c:extLst>
        </c:ser>
        <c:ser>
          <c:idx val="13"/>
          <c:order val="13"/>
          <c:tx>
            <c:strRef>
              <c:f>Расчет!$C$289</c:f>
              <c:strCache>
                <c:ptCount val="1"/>
                <c:pt idx="0">
                  <c:v> Услуги по найму дополнительного персонала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Расчет!$H$289:$S$289</c:f>
              <c:numCache>
                <c:formatCode>_(* #,##0_);_(* \(#,##0\);_(* "-"_);_(@_)</c:formatCode>
                <c:ptCount val="12"/>
                <c:pt idx="0">
                  <c:v>14</c:v>
                </c:pt>
                <c:pt idx="1">
                  <c:v>#N/A</c:v>
                </c:pt>
                <c:pt idx="2">
                  <c:v>14</c:v>
                </c:pt>
                <c:pt idx="3">
                  <c:v>#N/A</c:v>
                </c:pt>
                <c:pt idx="4">
                  <c:v>14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929-4F92-9A7E-EC4F1CF547B2}"/>
            </c:ext>
          </c:extLst>
        </c:ser>
        <c:ser>
          <c:idx val="14"/>
          <c:order val="14"/>
          <c:tx>
            <c:strRef>
              <c:f>Расчет!$C$290</c:f>
              <c:strCache>
                <c:ptCount val="1"/>
                <c:pt idx="0">
                  <c:v> Создание сайта на языке страны экспорта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Расчет!$H$290:$S$290</c:f>
              <c:numCache>
                <c:formatCode>_(* #,##0_);_(* \(#,##0\);_(* "-"_);_(@_)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929-4F92-9A7E-EC4F1CF547B2}"/>
            </c:ext>
          </c:extLst>
        </c:ser>
        <c:ser>
          <c:idx val="15"/>
          <c:order val="15"/>
          <c:tx>
            <c:strRef>
              <c:f>Расчет!$C$291</c:f>
              <c:strCache>
                <c:ptCount val="1"/>
                <c:pt idx="0">
                  <c:v> Создание юридического лица, открытие р/с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929-4F92-9A7E-EC4F1CF547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29-4F92-9A7E-EC4F1CF547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29-4F92-9A7E-EC4F1CF547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29-4F92-9A7E-EC4F1CF547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29-4F92-9A7E-EC4F1CF547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29-4F92-9A7E-EC4F1CF54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Расчет!$H$291:$S$291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16</c:v>
                </c:pt>
                <c:pt idx="5">
                  <c:v>16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929-4F92-9A7E-EC4F1CF547B2}"/>
            </c:ext>
          </c:extLst>
        </c:ser>
        <c:ser>
          <c:idx val="16"/>
          <c:order val="16"/>
          <c:tx>
            <c:strRef>
              <c:f>Расчет!$C$292</c:f>
              <c:strCache>
                <c:ptCount val="1"/>
                <c:pt idx="0">
                  <c:v> Сертификация продукта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29-4F92-9A7E-EC4F1CF547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29-4F92-9A7E-EC4F1CF547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29-4F92-9A7E-EC4F1CF547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29-4F92-9A7E-EC4F1CF547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929-4F92-9A7E-EC4F1CF54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Расчет!$H$292:$S$292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17</c:v>
                </c:pt>
                <c:pt idx="5">
                  <c:v>17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929-4F92-9A7E-EC4F1CF547B2}"/>
            </c:ext>
          </c:extLst>
        </c:ser>
        <c:ser>
          <c:idx val="17"/>
          <c:order val="17"/>
          <c:tx>
            <c:strRef>
              <c:f>Расчет!$C$293</c:f>
              <c:strCache>
                <c:ptCount val="1"/>
                <c:pt idx="0">
                  <c:v> Аренда основных средств на стадии подготовки проекта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Расчет!$H$293:$S$293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18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929-4F92-9A7E-EC4F1CF547B2}"/>
            </c:ext>
          </c:extLst>
        </c:ser>
        <c:ser>
          <c:idx val="18"/>
          <c:order val="18"/>
          <c:tx>
            <c:strRef>
              <c:f>Расчет!$C$294</c:f>
              <c:strCache>
                <c:ptCount val="1"/>
                <c:pt idx="0">
                  <c:v> Поиск партнеров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29-4F92-9A7E-EC4F1CF547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929-4F92-9A7E-EC4F1CF547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929-4F92-9A7E-EC4F1CF547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929-4F92-9A7E-EC4F1CF547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929-4F92-9A7E-EC4F1CF547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929-4F92-9A7E-EC4F1CF547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929-4F92-9A7E-EC4F1CF54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Расчет!$H$294:$S$294</c:f>
              <c:numCache>
                <c:formatCode>_(* #,##0_);_(* \(#,##0\);_(* "-"_);_(@_)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929-4F92-9A7E-EC4F1CF547B2}"/>
            </c:ext>
          </c:extLst>
        </c:ser>
        <c:ser>
          <c:idx val="19"/>
          <c:order val="19"/>
          <c:tx>
            <c:strRef>
              <c:f>Расчет!$C$295</c:f>
              <c:strCache>
                <c:ptCount val="1"/>
                <c:pt idx="0">
                  <c:v> Закупка специализированного программного обеспечения </c:v>
                </c:pt>
              </c:strCache>
            </c:strRef>
          </c:tx>
          <c:spPr>
            <a:ln w="28575" cap="rnd">
              <a:solidFill>
                <a:srgbClr val="A7ABB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A7ABBD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29-4F92-9A7E-EC4F1CF547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929-4F92-9A7E-EC4F1CF547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29-4F92-9A7E-EC4F1CF547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929-4F92-9A7E-EC4F1CF547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929-4F92-9A7E-EC4F1CF547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929-4F92-9A7E-EC4F1CF547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929-4F92-9A7E-EC4F1CF547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929-4F92-9A7E-EC4F1CF547B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929-4F92-9A7E-EC4F1CF547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929-4F92-9A7E-EC4F1CF547B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929-4F92-9A7E-EC4F1CF547B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929-4F92-9A7E-EC4F1CF54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0" tIns="0" rIns="0" bIns="0" anchor="t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Расчет!$H$295:$S$295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20</c:v>
                </c:pt>
                <c:pt idx="5">
                  <c:v>20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B929-4F92-9A7E-EC4F1CF5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004079"/>
        <c:axId val="809398975"/>
      </c:lineChart>
      <c:dateAx>
        <c:axId val="7300040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A7ABBD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9398975"/>
        <c:crosses val="autoZero"/>
        <c:auto val="1"/>
        <c:lblOffset val="100"/>
        <c:baseTimeUnit val="months"/>
      </c:dateAx>
      <c:valAx>
        <c:axId val="809398975"/>
        <c:scaling>
          <c:orientation val="minMax"/>
          <c:max val="21"/>
          <c:min val="0"/>
        </c:scaling>
        <c:delete val="0"/>
        <c:axPos val="l"/>
        <c:minorGridlines>
          <c:spPr>
            <a:ln w="12700" cap="flat" cmpd="sng" algn="ctr">
              <a:solidFill>
                <a:schemeClr val="bg1">
                  <a:alpha val="38000"/>
                </a:schemeClr>
              </a:solidFill>
              <a:prstDash val="sysDot"/>
              <a:round/>
              <a:tailEnd type="none"/>
            </a:ln>
            <a:effectLst/>
          </c:spPr>
        </c:minorGridlines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0004079"/>
        <c:crosses val="autoZero"/>
        <c:crossBetween val="between"/>
      </c:valAx>
      <c:spPr>
        <a:noFill/>
        <a:ln w="635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45420284002961"/>
          <c:y val="1.6801913845276382E-2"/>
          <c:w val="0.47859594473767703"/>
          <c:h val="0.965124077800134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7AB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18000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7ABBD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Расчет!$C$276:$C$295</c:f>
              <c:strCache>
                <c:ptCount val="20"/>
                <c:pt idx="0">
                  <c:v> НИОКР </c:v>
                </c:pt>
                <c:pt idx="1">
                  <c:v> Участие в выставках, конференциях, бизнес-миссиях </c:v>
                </c:pt>
                <c:pt idx="2">
                  <c:v> Закупка основных средств: земельный участок </c:v>
                </c:pt>
                <c:pt idx="3">
                  <c:v> Оплата труда персонала и услуг сторонних организаций </c:v>
                </c:pt>
                <c:pt idx="4">
                  <c:v> Адаптация продукта </c:v>
                </c:pt>
                <c:pt idx="5">
                  <c:v> Закупка основных средств: оборудование </c:v>
                </c:pt>
                <c:pt idx="6">
                  <c:v> Тестовая партия (испытания, рекламные акции) </c:v>
                </c:pt>
                <c:pt idx="7">
                  <c:v> Подготовка рекламных материалов </c:v>
                </c:pt>
                <c:pt idx="8">
                  <c:v> Закупка основных средств: помещение </c:v>
                </c:pt>
                <c:pt idx="9">
                  <c:v> Анализ рынка продукта </c:v>
                </c:pt>
                <c:pt idx="10">
                  <c:v> Пусковые расходы </c:v>
                </c:pt>
                <c:pt idx="11">
                  <c:v> Расходы на подготовку производства </c:v>
                </c:pt>
                <c:pt idx="12">
                  <c:v> Защита исключительных прав </c:v>
                </c:pt>
                <c:pt idx="13">
                  <c:v> Услуги по найму дополнительного персонала </c:v>
                </c:pt>
                <c:pt idx="14">
                  <c:v> Создание сайта на языке страны экспорта </c:v>
                </c:pt>
                <c:pt idx="15">
                  <c:v> Создание юридического лица, открытие р/с </c:v>
                </c:pt>
                <c:pt idx="16">
                  <c:v> Сертификация продукта </c:v>
                </c:pt>
                <c:pt idx="17">
                  <c:v> Аренда основных средств на стадии подготовки проекта </c:v>
                </c:pt>
                <c:pt idx="18">
                  <c:v> Поиск партнеров </c:v>
                </c:pt>
                <c:pt idx="19">
                  <c:v> Закупка специализированного программного обеспечения </c:v>
                </c:pt>
              </c:strCache>
            </c:strRef>
          </c:cat>
          <c:val>
            <c:numRef>
              <c:f>Расчет!$E$276:$E$295</c:f>
              <c:numCache>
                <c:formatCode>_(* #,##0_);_(* \(#,##0\);_(* "-"_);_(@_)</c:formatCode>
                <c:ptCount val="20"/>
                <c:pt idx="0">
                  <c:v>10208811.434158018</c:v>
                </c:pt>
                <c:pt idx="1">
                  <c:v>7835230.1934271976</c:v>
                </c:pt>
                <c:pt idx="2">
                  <c:v>5385599.6855833093</c:v>
                </c:pt>
                <c:pt idx="3">
                  <c:v>4844007.1620209953</c:v>
                </c:pt>
                <c:pt idx="4">
                  <c:v>3983150.7266054149</c:v>
                </c:pt>
                <c:pt idx="5">
                  <c:v>3041742.8704978274</c:v>
                </c:pt>
                <c:pt idx="6">
                  <c:v>2141490.2557093347</c:v>
                </c:pt>
                <c:pt idx="7">
                  <c:v>2036537.0294825912</c:v>
                </c:pt>
                <c:pt idx="8">
                  <c:v>1744710.9751241764</c:v>
                </c:pt>
                <c:pt idx="9">
                  <c:v>1206627.730883104</c:v>
                </c:pt>
                <c:pt idx="10">
                  <c:v>518045.12767100497</c:v>
                </c:pt>
                <c:pt idx="11">
                  <c:v>507004.24872263015</c:v>
                </c:pt>
                <c:pt idx="12">
                  <c:v>479300.71064570243</c:v>
                </c:pt>
                <c:pt idx="13">
                  <c:v>361570.89622025122</c:v>
                </c:pt>
                <c:pt idx="14">
                  <c:v>266173.68833894772</c:v>
                </c:pt>
                <c:pt idx="15">
                  <c:v>222079.22865050531</c:v>
                </c:pt>
                <c:pt idx="16">
                  <c:v>154655.72606150786</c:v>
                </c:pt>
                <c:pt idx="17">
                  <c:v>25847.570001839649</c:v>
                </c:pt>
                <c:pt idx="18">
                  <c:v>24144.581164053714</c:v>
                </c:pt>
                <c:pt idx="19">
                  <c:v>15465.572606150785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6-4C56-BE5C-50F2858D7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5829695"/>
        <c:axId val="1323529663"/>
      </c:barChart>
      <c:catAx>
        <c:axId val="11058296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23529663"/>
        <c:crosses val="autoZero"/>
        <c:auto val="1"/>
        <c:lblAlgn val="ctr"/>
        <c:lblOffset val="100"/>
        <c:noMultiLvlLbl val="0"/>
      </c:catAx>
      <c:valAx>
        <c:axId val="1323529663"/>
        <c:scaling>
          <c:orientation val="minMax"/>
        </c:scaling>
        <c:delete val="1"/>
        <c:axPos val="b"/>
        <c:numFmt formatCode="_(* #,##0_);_(* \(#,##0\);_(* &quot;-&quot;_);_(@_)" sourceLinked="1"/>
        <c:majorTickMark val="none"/>
        <c:minorTickMark val="none"/>
        <c:tickLblPos val="nextTo"/>
        <c:crossAx val="1105829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246347894129007E-2"/>
          <c:y val="4.8124554753135158E-2"/>
          <c:w val="0.94210718169202101"/>
          <c:h val="0.75320134842618958"/>
        </c:manualLayout>
      </c:layout>
      <c:barChart>
        <c:barDir val="col"/>
        <c:grouping val="stacked"/>
        <c:varyColors val="0"/>
        <c:ser>
          <c:idx val="2"/>
          <c:order val="2"/>
          <c:spPr>
            <a:solidFill>
              <a:srgbClr val="F7C7A7">
                <a:alpha val="22000"/>
              </a:srgbClr>
            </a:solidFill>
            <a:ln>
              <a:noFill/>
            </a:ln>
            <a:effectLst>
              <a:glow rad="63500">
                <a:srgbClr val="F7C7A7">
                  <a:alpha val="23000"/>
                </a:srgbClr>
              </a:glow>
              <a:softEdge rad="38100"/>
            </a:effectLst>
          </c:spPr>
          <c:invertIfNegative val="0"/>
          <c:val>
            <c:numRef>
              <c:f>Расчет!$H$274:$S$274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13382069.35882535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9-4A19-989D-BE31FB76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79"/>
        <c:axId val="1105808095"/>
        <c:axId val="1323500127"/>
      </c:barChar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8086A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8086A0"/>
                </a:solidFill>
              </a:ln>
              <a:effectLst/>
            </c:spPr>
          </c:marker>
          <c:dLbls>
            <c:spPr>
              <a:solidFill>
                <a:schemeClr val="bg1">
                  <a:alpha val="87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8086A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Расчет!$H$5:$S$5</c:f>
              <c:numCache>
                <c:formatCode>m/d/yyyy</c:formatCode>
                <c:ptCount val="12"/>
                <c:pt idx="0">
                  <c:v>45504</c:v>
                </c:pt>
                <c:pt idx="1">
                  <c:v>45535</c:v>
                </c:pt>
                <c:pt idx="2">
                  <c:v>45565</c:v>
                </c:pt>
                <c:pt idx="3">
                  <c:v>45596</c:v>
                </c:pt>
                <c:pt idx="4">
                  <c:v>45626</c:v>
                </c:pt>
                <c:pt idx="5">
                  <c:v>45657</c:v>
                </c:pt>
                <c:pt idx="6">
                  <c:v>45688</c:v>
                </c:pt>
                <c:pt idx="7">
                  <c:v>45716</c:v>
                </c:pt>
                <c:pt idx="8">
                  <c:v>45747</c:v>
                </c:pt>
                <c:pt idx="9">
                  <c:v>45777</c:v>
                </c:pt>
                <c:pt idx="10">
                  <c:v>45808</c:v>
                </c:pt>
                <c:pt idx="11">
                  <c:v>45838</c:v>
                </c:pt>
              </c:numCache>
            </c:numRef>
          </c:cat>
          <c:val>
            <c:numRef>
              <c:f>Расчет!$H$273:$S$273</c:f>
              <c:numCache>
                <c:formatCode>_(* #,##0_);_(* \(#,##0\);_(* "-"_);_(@_)</c:formatCode>
                <c:ptCount val="12"/>
                <c:pt idx="0">
                  <c:v>5480737.77228247</c:v>
                </c:pt>
                <c:pt idx="1">
                  <c:v>2750350.0226571569</c:v>
                </c:pt>
                <c:pt idx="2">
                  <c:v>7923338.0075716255</c:v>
                </c:pt>
                <c:pt idx="3">
                  <c:v>4110824.5048990273</c:v>
                </c:pt>
                <c:pt idx="4">
                  <c:v>6913314.6065866984</c:v>
                </c:pt>
                <c:pt idx="5">
                  <c:v>13382069.35882535</c:v>
                </c:pt>
                <c:pt idx="6">
                  <c:v>4441561.1407522336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9-4A19-989D-BE31FB76C27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31750">
                <a:solidFill>
                  <a:schemeClr val="bg1"/>
                </a:solidFill>
              </a:ln>
              <a:effectLst/>
            </c:spPr>
          </c:marker>
          <c:val>
            <c:numRef>
              <c:f>Расчет!$H$274:$S$274</c:f>
              <c:numCache>
                <c:formatCode>_(* #,##0_);_(* \(#,##0\);_(*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13382069.35882535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9-4A19-989D-BE31FB76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808095"/>
        <c:axId val="1323500127"/>
      </c:lineChart>
      <c:dateAx>
        <c:axId val="11058080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 algn="ctr">
              <a:defRPr lang="ru-RU" sz="800" b="0" i="0" u="none" strike="noStrike" kern="1200" baseline="0">
                <a:solidFill>
                  <a:srgbClr val="A7ABBD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3500127"/>
        <c:crosses val="autoZero"/>
        <c:auto val="1"/>
        <c:lblOffset val="100"/>
        <c:baseTimeUnit val="months"/>
      </c:dateAx>
      <c:valAx>
        <c:axId val="1323500127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1105808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63092085649649"/>
          <c:y val="5.2767400425311799E-2"/>
          <c:w val="0.56550774500664736"/>
          <c:h val="0.91659405074365707"/>
        </c:manualLayout>
      </c:layout>
      <c:doughnutChart>
        <c:varyColors val="1"/>
        <c:ser>
          <c:idx val="0"/>
          <c:order val="0"/>
          <c:spPr>
            <a:ln w="19050"/>
          </c:spPr>
          <c:dPt>
            <c:idx val="0"/>
            <c:bubble3D val="0"/>
            <c:spPr>
              <a:pattFill prst="dkUpDiag">
                <a:fgClr>
                  <a:srgbClr val="CBCDD7"/>
                </a:fgClr>
                <a:bgClr>
                  <a:schemeClr val="bg1"/>
                </a:bgClr>
              </a:patt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88-4F42-820B-792E2B10DE9B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9F88-4F42-820B-792E2B10DE9B}"/>
              </c:ext>
            </c:extLst>
          </c:dPt>
          <c:dPt>
            <c:idx val="2"/>
            <c:bubble3D val="0"/>
            <c:spPr>
              <a:solidFill>
                <a:srgbClr val="A7ABBD">
                  <a:alpha val="46000"/>
                </a:srgbClr>
              </a:solid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9F88-4F42-820B-792E2B10DE9B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  <a:alpha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88-4F42-820B-792E2B10DE9B}"/>
              </c:ext>
            </c:extLst>
          </c:dPt>
          <c:dLbls>
            <c:spPr>
              <a:solidFill>
                <a:schemeClr val="bg1">
                  <a:alpha val="69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252000" bIns="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(Расчет!$D$227,Расчет!$D$229,Расчет!$D$231,Расчет!$D$233)</c:f>
              <c:strCache>
                <c:ptCount val="4"/>
                <c:pt idx="0">
                  <c:v>RUB</c:v>
                </c:pt>
                <c:pt idx="1">
                  <c:v>AED</c:v>
                </c:pt>
                <c:pt idx="2">
                  <c:v>USD</c:v>
                </c:pt>
                <c:pt idx="3">
                  <c:v>CNY</c:v>
                </c:pt>
              </c:strCache>
            </c:strRef>
          </c:cat>
          <c:val>
            <c:numRef>
              <c:f>(Расчет!$F$227,Расчет!$F$229,Расчет!$F$231,Расчет!$F$233)</c:f>
              <c:numCache>
                <c:formatCode>0%</c:formatCode>
                <c:ptCount val="4"/>
                <c:pt idx="0">
                  <c:v>0.64532403574929664</c:v>
                </c:pt>
                <c:pt idx="1">
                  <c:v>0.19036786773898559</c:v>
                </c:pt>
                <c:pt idx="2">
                  <c:v>0.10288719000752154</c:v>
                </c:pt>
                <c:pt idx="3">
                  <c:v>6.1420906504196349E-2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88-4F42-820B-792E2B10D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8086A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146050</xdr:rowOff>
    </xdr:from>
    <xdr:to>
      <xdr:col>4</xdr:col>
      <xdr:colOff>252000</xdr:colOff>
      <xdr:row>9</xdr:row>
      <xdr:rowOff>17050</xdr:rowOff>
    </xdr:to>
    <xdr:sp macro="" textlink="">
      <xdr:nvSpPr>
        <xdr:cNvPr id="3" name="Овал 2">
          <a:extLst>
            <a:ext uri="{FF2B5EF4-FFF2-40B4-BE49-F238E27FC236}">
              <a16:creationId xmlns:a16="http://schemas.microsoft.com/office/drawing/2014/main" id="{26B32C09-0527-43B2-8C31-D5AF473F5121}"/>
            </a:ext>
          </a:extLst>
        </xdr:cNvPr>
        <xdr:cNvSpPr/>
      </xdr:nvSpPr>
      <xdr:spPr>
        <a:xfrm>
          <a:off x="275897" y="1479550"/>
          <a:ext cx="252000" cy="252000"/>
        </a:xfrm>
        <a:prstGeom prst="ellipse">
          <a:avLst/>
        </a:prstGeom>
        <a:solidFill>
          <a:schemeClr val="bg1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1100">
              <a:solidFill>
                <a:schemeClr val="accent2">
                  <a:lumMod val="75000"/>
                </a:schemeClr>
              </a:solidFill>
            </a:rPr>
            <a:t>2</a:t>
          </a:r>
          <a:endParaRPr lang="ru-RU" sz="1100"/>
        </a:p>
      </xdr:txBody>
    </xdr:sp>
    <xdr:clientData/>
  </xdr:twoCellAnchor>
  <xdr:twoCellAnchor>
    <xdr:from>
      <xdr:col>4</xdr:col>
      <xdr:colOff>0</xdr:colOff>
      <xdr:row>11</xdr:row>
      <xdr:rowOff>133350</xdr:rowOff>
    </xdr:from>
    <xdr:to>
      <xdr:col>4</xdr:col>
      <xdr:colOff>252000</xdr:colOff>
      <xdr:row>13</xdr:row>
      <xdr:rowOff>4350</xdr:rowOff>
    </xdr:to>
    <xdr:sp macro="" textlink="">
      <xdr:nvSpPr>
        <xdr:cNvPr id="6" name="Овал 5">
          <a:extLst>
            <a:ext uri="{FF2B5EF4-FFF2-40B4-BE49-F238E27FC236}">
              <a16:creationId xmlns:a16="http://schemas.microsoft.com/office/drawing/2014/main" id="{766883D3-B4A4-41E0-A717-BD66B2DFF3BD}"/>
            </a:ext>
          </a:extLst>
        </xdr:cNvPr>
        <xdr:cNvSpPr/>
      </xdr:nvSpPr>
      <xdr:spPr>
        <a:xfrm>
          <a:off x="278423" y="2228850"/>
          <a:ext cx="252000" cy="252000"/>
        </a:xfrm>
        <a:prstGeom prst="ellipse">
          <a:avLst/>
        </a:prstGeom>
        <a:solidFill>
          <a:schemeClr val="bg1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1100">
              <a:solidFill>
                <a:schemeClr val="accent2">
                  <a:lumMod val="75000"/>
                </a:schemeClr>
              </a:solidFill>
            </a:rPr>
            <a:t>4</a:t>
          </a:r>
          <a:endParaRPr lang="ru-RU" sz="1100"/>
        </a:p>
      </xdr:txBody>
    </xdr:sp>
    <xdr:clientData/>
  </xdr:twoCellAnchor>
  <xdr:twoCellAnchor>
    <xdr:from>
      <xdr:col>4</xdr:col>
      <xdr:colOff>0</xdr:colOff>
      <xdr:row>16</xdr:row>
      <xdr:rowOff>161193</xdr:rowOff>
    </xdr:from>
    <xdr:to>
      <xdr:col>4</xdr:col>
      <xdr:colOff>252000</xdr:colOff>
      <xdr:row>18</xdr:row>
      <xdr:rowOff>32193</xdr:rowOff>
    </xdr:to>
    <xdr:sp macro="" textlink="">
      <xdr:nvSpPr>
        <xdr:cNvPr id="7" name="Овал 6">
          <a:extLst>
            <a:ext uri="{FF2B5EF4-FFF2-40B4-BE49-F238E27FC236}">
              <a16:creationId xmlns:a16="http://schemas.microsoft.com/office/drawing/2014/main" id="{93536E81-8FF0-4FBA-AC67-5749F9167668}"/>
            </a:ext>
          </a:extLst>
        </xdr:cNvPr>
        <xdr:cNvSpPr/>
      </xdr:nvSpPr>
      <xdr:spPr>
        <a:xfrm>
          <a:off x="278423" y="3209193"/>
          <a:ext cx="252000" cy="252000"/>
        </a:xfrm>
        <a:prstGeom prst="ellipse">
          <a:avLst/>
        </a:prstGeom>
        <a:solidFill>
          <a:schemeClr val="bg1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1100">
              <a:solidFill>
                <a:schemeClr val="accent2">
                  <a:lumMod val="75000"/>
                </a:schemeClr>
              </a:solidFill>
            </a:rPr>
            <a:t>1</a:t>
          </a:r>
          <a:endParaRPr lang="ru-RU" sz="1100"/>
        </a:p>
      </xdr:txBody>
    </xdr:sp>
    <xdr:clientData/>
  </xdr:twoCellAnchor>
  <xdr:twoCellAnchor>
    <xdr:from>
      <xdr:col>4</xdr:col>
      <xdr:colOff>0</xdr:colOff>
      <xdr:row>19</xdr:row>
      <xdr:rowOff>175846</xdr:rowOff>
    </xdr:from>
    <xdr:to>
      <xdr:col>4</xdr:col>
      <xdr:colOff>252000</xdr:colOff>
      <xdr:row>21</xdr:row>
      <xdr:rowOff>46846</xdr:rowOff>
    </xdr:to>
    <xdr:sp macro="" textlink="">
      <xdr:nvSpPr>
        <xdr:cNvPr id="8" name="Овал 7">
          <a:extLst>
            <a:ext uri="{FF2B5EF4-FFF2-40B4-BE49-F238E27FC236}">
              <a16:creationId xmlns:a16="http://schemas.microsoft.com/office/drawing/2014/main" id="{F16465C3-6594-4742-9A16-7D23247B2C3F}"/>
            </a:ext>
          </a:extLst>
        </xdr:cNvPr>
        <xdr:cNvSpPr/>
      </xdr:nvSpPr>
      <xdr:spPr>
        <a:xfrm>
          <a:off x="278423" y="3868615"/>
          <a:ext cx="252000" cy="252000"/>
        </a:xfrm>
        <a:prstGeom prst="ellipse">
          <a:avLst/>
        </a:prstGeom>
        <a:solidFill>
          <a:schemeClr val="bg1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1100">
              <a:solidFill>
                <a:schemeClr val="accent2">
                  <a:lumMod val="75000"/>
                </a:schemeClr>
              </a:solidFill>
            </a:rPr>
            <a:t>2</a:t>
          </a:r>
          <a:endParaRPr lang="ru-RU" sz="1100"/>
        </a:p>
      </xdr:txBody>
    </xdr:sp>
    <xdr:clientData/>
  </xdr:twoCellAnchor>
  <xdr:twoCellAnchor>
    <xdr:from>
      <xdr:col>4</xdr:col>
      <xdr:colOff>0</xdr:colOff>
      <xdr:row>28</xdr:row>
      <xdr:rowOff>168520</xdr:rowOff>
    </xdr:from>
    <xdr:to>
      <xdr:col>4</xdr:col>
      <xdr:colOff>252000</xdr:colOff>
      <xdr:row>30</xdr:row>
      <xdr:rowOff>39520</xdr:rowOff>
    </xdr:to>
    <xdr:sp macro="" textlink="">
      <xdr:nvSpPr>
        <xdr:cNvPr id="11" name="Овал 10">
          <a:extLst>
            <a:ext uri="{FF2B5EF4-FFF2-40B4-BE49-F238E27FC236}">
              <a16:creationId xmlns:a16="http://schemas.microsoft.com/office/drawing/2014/main" id="{14313769-491F-40FC-857F-CDCA0CCD96CF}"/>
            </a:ext>
          </a:extLst>
        </xdr:cNvPr>
        <xdr:cNvSpPr/>
      </xdr:nvSpPr>
      <xdr:spPr>
        <a:xfrm>
          <a:off x="278423" y="5121520"/>
          <a:ext cx="252000" cy="252000"/>
        </a:xfrm>
        <a:prstGeom prst="ellipse">
          <a:avLst/>
        </a:prstGeom>
        <a:solidFill>
          <a:schemeClr val="bg1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1100">
              <a:solidFill>
                <a:schemeClr val="accent2">
                  <a:lumMod val="75000"/>
                </a:schemeClr>
              </a:solidFill>
            </a:rPr>
            <a:t>3</a:t>
          </a:r>
          <a:endParaRPr lang="ru-RU" sz="1100"/>
        </a:p>
      </xdr:txBody>
    </xdr:sp>
    <xdr:clientData/>
  </xdr:twoCellAnchor>
  <xdr:twoCellAnchor>
    <xdr:from>
      <xdr:col>4</xdr:col>
      <xdr:colOff>0</xdr:colOff>
      <xdr:row>37</xdr:row>
      <xdr:rowOff>175846</xdr:rowOff>
    </xdr:from>
    <xdr:to>
      <xdr:col>4</xdr:col>
      <xdr:colOff>252000</xdr:colOff>
      <xdr:row>39</xdr:row>
      <xdr:rowOff>46846</xdr:rowOff>
    </xdr:to>
    <xdr:sp macro="" textlink="">
      <xdr:nvSpPr>
        <xdr:cNvPr id="12" name="Овал 11">
          <a:extLst>
            <a:ext uri="{FF2B5EF4-FFF2-40B4-BE49-F238E27FC236}">
              <a16:creationId xmlns:a16="http://schemas.microsoft.com/office/drawing/2014/main" id="{91934F60-39D3-441B-861C-1DE03EE7D18B}"/>
            </a:ext>
          </a:extLst>
        </xdr:cNvPr>
        <xdr:cNvSpPr/>
      </xdr:nvSpPr>
      <xdr:spPr>
        <a:xfrm>
          <a:off x="278423" y="7107115"/>
          <a:ext cx="252000" cy="252000"/>
        </a:xfrm>
        <a:prstGeom prst="ellipse">
          <a:avLst/>
        </a:prstGeom>
        <a:solidFill>
          <a:schemeClr val="bg1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1100">
              <a:solidFill>
                <a:schemeClr val="accent2">
                  <a:lumMod val="75000"/>
                </a:schemeClr>
              </a:solidFill>
            </a:rPr>
            <a:t>4</a:t>
          </a:r>
          <a:endParaRPr lang="ru-RU" sz="1100"/>
        </a:p>
      </xdr:txBody>
    </xdr:sp>
    <xdr:clientData/>
  </xdr:twoCellAnchor>
  <xdr:twoCellAnchor>
    <xdr:from>
      <xdr:col>4</xdr:col>
      <xdr:colOff>0</xdr:colOff>
      <xdr:row>47</xdr:row>
      <xdr:rowOff>175846</xdr:rowOff>
    </xdr:from>
    <xdr:to>
      <xdr:col>4</xdr:col>
      <xdr:colOff>252000</xdr:colOff>
      <xdr:row>49</xdr:row>
      <xdr:rowOff>46846</xdr:rowOff>
    </xdr:to>
    <xdr:sp macro="" textlink="">
      <xdr:nvSpPr>
        <xdr:cNvPr id="14" name="Овал 13">
          <a:extLst>
            <a:ext uri="{FF2B5EF4-FFF2-40B4-BE49-F238E27FC236}">
              <a16:creationId xmlns:a16="http://schemas.microsoft.com/office/drawing/2014/main" id="{AEE3DCF4-D749-4CB9-AF73-5CD2CC3A6DB1}"/>
            </a:ext>
          </a:extLst>
        </xdr:cNvPr>
        <xdr:cNvSpPr/>
      </xdr:nvSpPr>
      <xdr:spPr>
        <a:xfrm>
          <a:off x="278423" y="8631115"/>
          <a:ext cx="252000" cy="252000"/>
        </a:xfrm>
        <a:prstGeom prst="ellipse">
          <a:avLst/>
        </a:prstGeom>
        <a:solidFill>
          <a:schemeClr val="bg1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1100">
              <a:solidFill>
                <a:schemeClr val="accent2">
                  <a:lumMod val="75000"/>
                </a:schemeClr>
              </a:solidFill>
            </a:rPr>
            <a:t>5</a:t>
          </a:r>
          <a:endParaRPr lang="ru-RU" sz="1100"/>
        </a:p>
      </xdr:txBody>
    </xdr:sp>
    <xdr:clientData/>
  </xdr:twoCellAnchor>
  <xdr:twoCellAnchor>
    <xdr:from>
      <xdr:col>4</xdr:col>
      <xdr:colOff>0</xdr:colOff>
      <xdr:row>5</xdr:row>
      <xdr:rowOff>152400</xdr:rowOff>
    </xdr:from>
    <xdr:to>
      <xdr:col>4</xdr:col>
      <xdr:colOff>252000</xdr:colOff>
      <xdr:row>7</xdr:row>
      <xdr:rowOff>23400</xdr:rowOff>
    </xdr:to>
    <xdr:sp macro="" textlink="">
      <xdr:nvSpPr>
        <xdr:cNvPr id="20" name="Овал 19">
          <a:extLst>
            <a:ext uri="{FF2B5EF4-FFF2-40B4-BE49-F238E27FC236}">
              <a16:creationId xmlns:a16="http://schemas.microsoft.com/office/drawing/2014/main" id="{7308F891-474A-4F3D-8495-F5924078FAF6}"/>
            </a:ext>
          </a:extLst>
        </xdr:cNvPr>
        <xdr:cNvSpPr/>
      </xdr:nvSpPr>
      <xdr:spPr>
        <a:xfrm>
          <a:off x="278423" y="1104900"/>
          <a:ext cx="252000" cy="252000"/>
        </a:xfrm>
        <a:prstGeom prst="ellipse">
          <a:avLst/>
        </a:prstGeom>
        <a:solidFill>
          <a:schemeClr val="bg1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1100">
              <a:solidFill>
                <a:schemeClr val="accent2">
                  <a:lumMod val="75000"/>
                </a:schemeClr>
              </a:solidFill>
            </a:rPr>
            <a:t>1</a:t>
          </a:r>
          <a:endParaRPr lang="ru-RU" sz="1100"/>
        </a:p>
      </xdr:txBody>
    </xdr:sp>
    <xdr:clientData/>
  </xdr:twoCellAnchor>
  <xdr:twoCellAnchor>
    <xdr:from>
      <xdr:col>4</xdr:col>
      <xdr:colOff>0</xdr:colOff>
      <xdr:row>9</xdr:row>
      <xdr:rowOff>139700</xdr:rowOff>
    </xdr:from>
    <xdr:to>
      <xdr:col>4</xdr:col>
      <xdr:colOff>252000</xdr:colOff>
      <xdr:row>11</xdr:row>
      <xdr:rowOff>10700</xdr:rowOff>
    </xdr:to>
    <xdr:sp macro="" textlink="">
      <xdr:nvSpPr>
        <xdr:cNvPr id="21" name="Овал 20">
          <a:extLst>
            <a:ext uri="{FF2B5EF4-FFF2-40B4-BE49-F238E27FC236}">
              <a16:creationId xmlns:a16="http://schemas.microsoft.com/office/drawing/2014/main" id="{67D66A79-2407-4986-9D1C-A6A4AE7A4013}"/>
            </a:ext>
          </a:extLst>
        </xdr:cNvPr>
        <xdr:cNvSpPr/>
      </xdr:nvSpPr>
      <xdr:spPr>
        <a:xfrm>
          <a:off x="275897" y="1854200"/>
          <a:ext cx="252000" cy="252000"/>
        </a:xfrm>
        <a:prstGeom prst="ellipse">
          <a:avLst/>
        </a:prstGeom>
        <a:solidFill>
          <a:schemeClr val="bg1"/>
        </a:solidFill>
        <a:ln w="95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1100">
              <a:solidFill>
                <a:schemeClr val="accent2">
                  <a:lumMod val="75000"/>
                </a:schemeClr>
              </a:solidFill>
            </a:rPr>
            <a:t>3</a:t>
          </a:r>
          <a:endParaRPr lang="ru-RU" sz="1100"/>
        </a:p>
      </xdr:txBody>
    </xdr:sp>
    <xdr:clientData/>
  </xdr:twoCellAnchor>
  <xdr:twoCellAnchor>
    <xdr:from>
      <xdr:col>13</xdr:col>
      <xdr:colOff>556845</xdr:colOff>
      <xdr:row>76</xdr:row>
      <xdr:rowOff>14654</xdr:rowOff>
    </xdr:from>
    <xdr:to>
      <xdr:col>16</xdr:col>
      <xdr:colOff>329712</xdr:colOff>
      <xdr:row>81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573ED5E-67FC-4246-9C56-063170365666}"/>
            </a:ext>
          </a:extLst>
        </xdr:cNvPr>
        <xdr:cNvSpPr txBox="1"/>
      </xdr:nvSpPr>
      <xdr:spPr>
        <a:xfrm>
          <a:off x="6308480" y="13789269"/>
          <a:ext cx="1597270" cy="937846"/>
        </a:xfrm>
        <a:prstGeom prst="rect">
          <a:avLst/>
        </a:prstGeom>
        <a:solidFill>
          <a:schemeClr val="lt1"/>
        </a:solidFill>
        <a:ln w="3175" cmpd="sng">
          <a:solidFill>
            <a:srgbClr val="EC732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200" b="0">
              <a:solidFill>
                <a:srgbClr val="EC7320"/>
              </a:solidFill>
              <a:latin typeface="+mn-lt"/>
            </a:rPr>
            <a:t>?</a:t>
          </a:r>
        </a:p>
        <a:p>
          <a:pPr algn="ctr"/>
          <a:r>
            <a:rPr lang="ru-RU" sz="900">
              <a:solidFill>
                <a:srgbClr val="676F8B"/>
              </a:solidFill>
              <a:latin typeface="+mn-lt"/>
            </a:rPr>
            <a:t>попадает ли полученный индикатив</a:t>
          </a:r>
        </a:p>
        <a:p>
          <a:pPr algn="ctr"/>
          <a:r>
            <a:rPr lang="ru-RU" sz="900" b="0">
              <a:solidFill>
                <a:srgbClr val="EC7320"/>
              </a:solidFill>
              <a:latin typeface="+mn-lt"/>
            </a:rPr>
            <a:t>в текущий рыночный диапазон</a:t>
          </a:r>
        </a:p>
      </xdr:txBody>
    </xdr:sp>
    <xdr:clientData/>
  </xdr:twoCellAnchor>
  <xdr:twoCellAnchor>
    <xdr:from>
      <xdr:col>11</xdr:col>
      <xdr:colOff>351693</xdr:colOff>
      <xdr:row>73</xdr:row>
      <xdr:rowOff>14653</xdr:rowOff>
    </xdr:from>
    <xdr:to>
      <xdr:col>11</xdr:col>
      <xdr:colOff>512885</xdr:colOff>
      <xdr:row>84</xdr:row>
      <xdr:rowOff>95250</xdr:rowOff>
    </xdr:to>
    <xdr:sp macro="" textlink="">
      <xdr:nvSpPr>
        <xdr:cNvPr id="5" name="Левая фигурная скобка 4">
          <a:extLst>
            <a:ext uri="{FF2B5EF4-FFF2-40B4-BE49-F238E27FC236}">
              <a16:creationId xmlns:a16="http://schemas.microsoft.com/office/drawing/2014/main" id="{45F833B3-CD4E-449A-8876-2A7E611503B4}"/>
            </a:ext>
          </a:extLst>
        </xdr:cNvPr>
        <xdr:cNvSpPr/>
      </xdr:nvSpPr>
      <xdr:spPr>
        <a:xfrm>
          <a:off x="4887058" y="13562134"/>
          <a:ext cx="161192" cy="2227385"/>
        </a:xfrm>
        <a:prstGeom prst="leftBrace">
          <a:avLst/>
        </a:prstGeom>
        <a:ln w="3175">
          <a:solidFill>
            <a:schemeClr val="accent2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102576</xdr:colOff>
      <xdr:row>73</xdr:row>
      <xdr:rowOff>14654</xdr:rowOff>
    </xdr:from>
    <xdr:to>
      <xdr:col>11</xdr:col>
      <xdr:colOff>315057</xdr:colOff>
      <xdr:row>84</xdr:row>
      <xdr:rowOff>102577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E837F0C-181B-4308-B133-23E347AA9DD1}"/>
            </a:ext>
          </a:extLst>
        </xdr:cNvPr>
        <xdr:cNvSpPr txBox="1"/>
      </xdr:nvSpPr>
      <xdr:spPr>
        <a:xfrm>
          <a:off x="4637941" y="13356981"/>
          <a:ext cx="212481" cy="22347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lIns="0" tIns="0" rIns="0" bIns="0" rtlCol="0" anchor="ctr" anchorCtr="1"/>
        <a:lstStyle/>
        <a:p>
          <a:r>
            <a:rPr lang="ru-RU" sz="1050" b="0" spc="100" baseline="0">
              <a:solidFill>
                <a:srgbClr val="A7ABBD"/>
              </a:solidFill>
            </a:rPr>
            <a:t>образ  результата ?</a:t>
          </a:r>
        </a:p>
      </xdr:txBody>
    </xdr:sp>
    <xdr:clientData/>
  </xdr:twoCellAnchor>
  <xdr:twoCellAnchor>
    <xdr:from>
      <xdr:col>11</xdr:col>
      <xdr:colOff>608135</xdr:colOff>
      <xdr:row>15</xdr:row>
      <xdr:rowOff>161192</xdr:rowOff>
    </xdr:from>
    <xdr:to>
      <xdr:col>19</xdr:col>
      <xdr:colOff>29308</xdr:colOff>
      <xdr:row>19</xdr:row>
      <xdr:rowOff>29308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id="{C4C48F2F-E112-43D5-94DD-A253F50147AB}"/>
            </a:ext>
          </a:extLst>
        </xdr:cNvPr>
        <xdr:cNvSpPr/>
      </xdr:nvSpPr>
      <xdr:spPr>
        <a:xfrm>
          <a:off x="5143500" y="3091961"/>
          <a:ext cx="4315558" cy="630116"/>
        </a:xfrm>
        <a:prstGeom prst="rect">
          <a:avLst/>
        </a:prstGeom>
        <a:noFill/>
        <a:ln w="6350">
          <a:solidFill>
            <a:srgbClr val="F7C7A7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87923</xdr:colOff>
      <xdr:row>5</xdr:row>
      <xdr:rowOff>131884</xdr:rowOff>
    </xdr:from>
    <xdr:to>
      <xdr:col>13</xdr:col>
      <xdr:colOff>168519</xdr:colOff>
      <xdr:row>14</xdr:row>
      <xdr:rowOff>7327</xdr:rowOff>
    </xdr:to>
    <xdr:sp macro="" textlink="">
      <xdr:nvSpPr>
        <xdr:cNvPr id="29" name="Правая круглая скобка 28">
          <a:extLst>
            <a:ext uri="{FF2B5EF4-FFF2-40B4-BE49-F238E27FC236}">
              <a16:creationId xmlns:a16="http://schemas.microsoft.com/office/drawing/2014/main" id="{14D627AC-48E5-4B96-B549-4972EE5A8AD4}"/>
            </a:ext>
          </a:extLst>
        </xdr:cNvPr>
        <xdr:cNvSpPr/>
      </xdr:nvSpPr>
      <xdr:spPr>
        <a:xfrm>
          <a:off x="5890846" y="1157653"/>
          <a:ext cx="80596" cy="1589943"/>
        </a:xfrm>
        <a:prstGeom prst="rightBracket">
          <a:avLst/>
        </a:prstGeom>
        <a:ln>
          <a:solidFill>
            <a:srgbClr val="F7C7A7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13</xdr:col>
      <xdr:colOff>234461</xdr:colOff>
      <xdr:row>8</xdr:row>
      <xdr:rowOff>73269</xdr:rowOff>
    </xdr:from>
    <xdr:to>
      <xdr:col>15</xdr:col>
      <xdr:colOff>234461</xdr:colOff>
      <xdr:row>10</xdr:row>
      <xdr:rowOff>109904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60B00FC-55EC-46D2-AE13-F087D0926B44}"/>
            </a:ext>
          </a:extLst>
        </xdr:cNvPr>
        <xdr:cNvSpPr txBox="1"/>
      </xdr:nvSpPr>
      <xdr:spPr>
        <a:xfrm>
          <a:off x="6037384" y="1670538"/>
          <a:ext cx="1216269" cy="4176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000">
              <a:solidFill>
                <a:schemeClr val="accent2">
                  <a:lumMod val="75000"/>
                </a:schemeClr>
              </a:solidFill>
            </a:rPr>
            <a:t>= ЦЕНА</a:t>
          </a:r>
          <a:r>
            <a:rPr lang="ru-RU" sz="1000" baseline="0">
              <a:solidFill>
                <a:schemeClr val="accent2">
                  <a:lumMod val="75000"/>
                </a:schemeClr>
              </a:solidFill>
            </a:rPr>
            <a:t> "ВХОДА"</a:t>
          </a:r>
        </a:p>
        <a:p>
          <a:pPr algn="ctr"/>
          <a:r>
            <a:rPr lang="ru-RU" sz="1000" baseline="0">
              <a:solidFill>
                <a:schemeClr val="accent2">
                  <a:lumMod val="75000"/>
                </a:schemeClr>
              </a:solidFill>
            </a:rPr>
            <a:t>НА НОВЫЙ РЫНОК</a:t>
          </a:r>
          <a:endParaRPr lang="ru-RU" sz="10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512886</xdr:colOff>
      <xdr:row>22</xdr:row>
      <xdr:rowOff>7326</xdr:rowOff>
    </xdr:from>
    <xdr:to>
      <xdr:col>8</xdr:col>
      <xdr:colOff>124556</xdr:colOff>
      <xdr:row>22</xdr:row>
      <xdr:rowOff>187326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A9CED3AF-86A1-442E-ABC9-C9B174FDC097}"/>
            </a:ext>
          </a:extLst>
        </xdr:cNvPr>
        <xdr:cNvSpPr txBox="1"/>
      </xdr:nvSpPr>
      <xdr:spPr>
        <a:xfrm>
          <a:off x="2007578" y="4271595"/>
          <a:ext cx="82794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800">
              <a:solidFill>
                <a:srgbClr val="C65911"/>
              </a:solidFill>
            </a:rPr>
            <a:t>например</a:t>
          </a:r>
          <a:r>
            <a:rPr lang="en-US" sz="800">
              <a:solidFill>
                <a:srgbClr val="C65911"/>
              </a:solidFill>
            </a:rPr>
            <a:t> ...</a:t>
          </a:r>
          <a:endParaRPr lang="ru-RU" sz="800">
            <a:solidFill>
              <a:srgbClr val="C65911"/>
            </a:solidFill>
          </a:endParaRPr>
        </a:p>
      </xdr:txBody>
    </xdr:sp>
    <xdr:clientData/>
  </xdr:twoCellAnchor>
  <xdr:twoCellAnchor>
    <xdr:from>
      <xdr:col>8</xdr:col>
      <xdr:colOff>600807</xdr:colOff>
      <xdr:row>14</xdr:row>
      <xdr:rowOff>58615</xdr:rowOff>
    </xdr:from>
    <xdr:to>
      <xdr:col>10</xdr:col>
      <xdr:colOff>542191</xdr:colOff>
      <xdr:row>16</xdr:row>
      <xdr:rowOff>95250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88DC71F-FEE4-4029-9E55-8DA54591053F}"/>
            </a:ext>
          </a:extLst>
        </xdr:cNvPr>
        <xdr:cNvSpPr txBox="1"/>
      </xdr:nvSpPr>
      <xdr:spPr>
        <a:xfrm>
          <a:off x="3311769" y="2798884"/>
          <a:ext cx="1157653" cy="4176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chemeClr val="accent2">
                  <a:lumMod val="75000"/>
                </a:schemeClr>
              </a:solidFill>
            </a:rPr>
            <a:t>5 шагов</a:t>
          </a:r>
        </a:p>
      </xdr:txBody>
    </xdr:sp>
    <xdr:clientData/>
  </xdr:twoCellAnchor>
  <xdr:twoCellAnchor>
    <xdr:from>
      <xdr:col>19</xdr:col>
      <xdr:colOff>0</xdr:colOff>
      <xdr:row>39</xdr:row>
      <xdr:rowOff>7327</xdr:rowOff>
    </xdr:from>
    <xdr:to>
      <xdr:col>20</xdr:col>
      <xdr:colOff>30000</xdr:colOff>
      <xdr:row>40</xdr:row>
      <xdr:rowOff>176827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FDC323E-37D9-459E-87E7-8A83048CF576}"/>
            </a:ext>
          </a:extLst>
        </xdr:cNvPr>
        <xdr:cNvSpPr txBox="1"/>
      </xdr:nvSpPr>
      <xdr:spPr>
        <a:xfrm>
          <a:off x="9549848" y="7519653"/>
          <a:ext cx="684326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ru-RU" sz="800">
              <a:solidFill>
                <a:schemeClr val="accent2">
                  <a:lumMod val="75000"/>
                </a:schemeClr>
              </a:solidFill>
            </a:rPr>
            <a:t>...</a:t>
          </a:r>
          <a:r>
            <a:rPr lang="ru-RU" sz="800" baseline="0">
              <a:solidFill>
                <a:schemeClr val="accent2">
                  <a:lumMod val="75000"/>
                </a:schemeClr>
              </a:solidFill>
            </a:rPr>
            <a:t> </a:t>
          </a:r>
          <a:r>
            <a:rPr lang="ru-RU" sz="800">
              <a:solidFill>
                <a:schemeClr val="accent2">
                  <a:lumMod val="75000"/>
                </a:schemeClr>
              </a:solidFill>
            </a:rPr>
            <a:t>что соответствует </a:t>
          </a:r>
        </a:p>
      </xdr:txBody>
    </xdr:sp>
    <xdr:clientData/>
  </xdr:twoCellAnchor>
  <xdr:twoCellAnchor>
    <xdr:from>
      <xdr:col>5</xdr:col>
      <xdr:colOff>483577</xdr:colOff>
      <xdr:row>45</xdr:row>
      <xdr:rowOff>117231</xdr:rowOff>
    </xdr:from>
    <xdr:to>
      <xdr:col>7</xdr:col>
      <xdr:colOff>95248</xdr:colOff>
      <xdr:row>46</xdr:row>
      <xdr:rowOff>106731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FAB9A45-D02B-4EE1-9DE9-15ACBB1E473C}"/>
            </a:ext>
          </a:extLst>
        </xdr:cNvPr>
        <xdr:cNvSpPr txBox="1"/>
      </xdr:nvSpPr>
      <xdr:spPr>
        <a:xfrm>
          <a:off x="1370135" y="8770327"/>
          <a:ext cx="82794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800" b="0">
              <a:solidFill>
                <a:srgbClr val="F7C7A7"/>
              </a:solidFill>
            </a:rPr>
            <a:t>МЭР</a:t>
          </a:r>
          <a:r>
            <a:rPr lang="ru-RU" sz="800" b="0" baseline="0">
              <a:solidFill>
                <a:srgbClr val="F7C7A7"/>
              </a:solidFill>
            </a:rPr>
            <a:t> РФ, в %</a:t>
          </a:r>
        </a:p>
      </xdr:txBody>
    </xdr:sp>
    <xdr:clientData/>
  </xdr:twoCellAnchor>
  <xdr:twoCellAnchor>
    <xdr:from>
      <xdr:col>5</xdr:col>
      <xdr:colOff>241789</xdr:colOff>
      <xdr:row>41</xdr:row>
      <xdr:rowOff>84673</xdr:rowOff>
    </xdr:from>
    <xdr:to>
      <xdr:col>6</xdr:col>
      <xdr:colOff>101655</xdr:colOff>
      <xdr:row>46</xdr:row>
      <xdr:rowOff>21373</xdr:rowOff>
    </xdr:to>
    <xdr:grpSp>
      <xdr:nvGrpSpPr>
        <xdr:cNvPr id="50" name="Группа 49">
          <a:extLst>
            <a:ext uri="{FF2B5EF4-FFF2-40B4-BE49-F238E27FC236}">
              <a16:creationId xmlns:a16="http://schemas.microsoft.com/office/drawing/2014/main" id="{3B3D8784-B9B9-4658-94F1-8910937A6183}"/>
            </a:ext>
          </a:extLst>
        </xdr:cNvPr>
        <xdr:cNvGrpSpPr/>
      </xdr:nvGrpSpPr>
      <xdr:grpSpPr>
        <a:xfrm>
          <a:off x="1152876" y="7977999"/>
          <a:ext cx="472779" cy="889200"/>
          <a:chOff x="1129346" y="7981764"/>
          <a:chExt cx="470332" cy="889200"/>
        </a:xfrm>
      </xdr:grpSpPr>
      <xdr:cxnSp macro="">
        <xdr:nvCxnSpPr>
          <xdr:cNvPr id="40" name="Прямая соединительная линия 39">
            <a:extLst>
              <a:ext uri="{FF2B5EF4-FFF2-40B4-BE49-F238E27FC236}">
                <a16:creationId xmlns:a16="http://schemas.microsoft.com/office/drawing/2014/main" id="{DDF93C98-22B7-401C-9A79-573F356D0192}"/>
              </a:ext>
            </a:extLst>
          </xdr:cNvPr>
          <xdr:cNvCxnSpPr/>
        </xdr:nvCxnSpPr>
        <xdr:spPr>
          <a:xfrm flipH="1">
            <a:off x="1129346" y="7985014"/>
            <a:ext cx="470332" cy="0"/>
          </a:xfrm>
          <a:prstGeom prst="line">
            <a:avLst/>
          </a:prstGeom>
          <a:ln w="3175">
            <a:solidFill>
              <a:srgbClr val="F7C7A7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Прямая соединительная линия 40">
            <a:extLst>
              <a:ext uri="{FF2B5EF4-FFF2-40B4-BE49-F238E27FC236}">
                <a16:creationId xmlns:a16="http://schemas.microsoft.com/office/drawing/2014/main" id="{FA53F30A-B06A-4777-BB32-77C66D123A0A}"/>
              </a:ext>
            </a:extLst>
          </xdr:cNvPr>
          <xdr:cNvCxnSpPr/>
        </xdr:nvCxnSpPr>
        <xdr:spPr>
          <a:xfrm>
            <a:off x="1134743" y="7981764"/>
            <a:ext cx="8257" cy="889200"/>
          </a:xfrm>
          <a:prstGeom prst="line">
            <a:avLst/>
          </a:prstGeom>
          <a:ln w="3175">
            <a:solidFill>
              <a:srgbClr val="F7C7A7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Прямая соединительная линия 42">
            <a:extLst>
              <a:ext uri="{FF2B5EF4-FFF2-40B4-BE49-F238E27FC236}">
                <a16:creationId xmlns:a16="http://schemas.microsoft.com/office/drawing/2014/main" id="{1B7A5E46-57E1-4D57-8C75-3484B794247C}"/>
              </a:ext>
            </a:extLst>
          </xdr:cNvPr>
          <xdr:cNvCxnSpPr/>
        </xdr:nvCxnSpPr>
        <xdr:spPr>
          <a:xfrm flipH="1">
            <a:off x="1142535" y="8863914"/>
            <a:ext cx="338502" cy="5861"/>
          </a:xfrm>
          <a:prstGeom prst="line">
            <a:avLst/>
          </a:prstGeom>
          <a:ln w="3175">
            <a:solidFill>
              <a:srgbClr val="F7C7A7"/>
            </a:solidFill>
            <a:prstDash val="sysDash"/>
            <a:head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51</xdr:row>
      <xdr:rowOff>4377</xdr:rowOff>
    </xdr:from>
    <xdr:to>
      <xdr:col>6</xdr:col>
      <xdr:colOff>183866</xdr:colOff>
      <xdr:row>52</xdr:row>
      <xdr:rowOff>152431</xdr:rowOff>
    </xdr:to>
    <xdr:sp macro="" textlink="">
      <xdr:nvSpPr>
        <xdr:cNvPr id="51" name="TextBox 193">
          <a:extLst>
            <a:ext uri="{FF2B5EF4-FFF2-40B4-BE49-F238E27FC236}">
              <a16:creationId xmlns:a16="http://schemas.microsoft.com/office/drawing/2014/main" id="{75B888B9-4A55-4296-9113-052D646CEFB0}"/>
            </a:ext>
          </a:extLst>
        </xdr:cNvPr>
        <xdr:cNvSpPr txBox="1"/>
      </xdr:nvSpPr>
      <xdr:spPr>
        <a:xfrm>
          <a:off x="886558" y="9990973"/>
          <a:ext cx="79200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мероприятие /</a:t>
          </a:r>
          <a:b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</a:br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статья затрат</a:t>
          </a:r>
        </a:p>
      </xdr:txBody>
    </xdr:sp>
    <xdr:clientData/>
  </xdr:twoCellAnchor>
  <xdr:twoCellAnchor>
    <xdr:from>
      <xdr:col>5</xdr:col>
      <xdr:colOff>340297</xdr:colOff>
      <xdr:row>52</xdr:row>
      <xdr:rowOff>160265</xdr:rowOff>
    </xdr:from>
    <xdr:to>
      <xdr:col>5</xdr:col>
      <xdr:colOff>578830</xdr:colOff>
      <xdr:row>54</xdr:row>
      <xdr:rowOff>123631</xdr:rowOff>
    </xdr:to>
    <xdr:sp macro="" textlink="">
      <xdr:nvSpPr>
        <xdr:cNvPr id="52" name="Freeform 36">
          <a:extLst>
            <a:ext uri="{FF2B5EF4-FFF2-40B4-BE49-F238E27FC236}">
              <a16:creationId xmlns:a16="http://schemas.microsoft.com/office/drawing/2014/main" id="{49FD0292-3A8C-4C4E-89DC-51B15EA014FC}"/>
            </a:ext>
          </a:extLst>
        </xdr:cNvPr>
        <xdr:cNvSpPr/>
      </xdr:nvSpPr>
      <xdr:spPr bwMode="gray">
        <a:xfrm rot="16200000">
          <a:off x="1016410" y="10547806"/>
          <a:ext cx="659424" cy="238533"/>
        </a:xfrm>
        <a:custGeom>
          <a:avLst/>
          <a:gdLst>
            <a:gd name="connsiteX0" fmla="*/ 1615338 w 1615338"/>
            <a:gd name="connsiteY0" fmla="*/ 12700 h 1431319"/>
            <a:gd name="connsiteX1" fmla="*/ 633815 w 1615338"/>
            <a:gd name="connsiteY1" fmla="*/ 0 h 1431319"/>
            <a:gd name="connsiteX2" fmla="*/ 539304 w 1615338"/>
            <a:gd name="connsiteY2" fmla="*/ 64314 h 1431319"/>
            <a:gd name="connsiteX3" fmla="*/ 0 w 1615338"/>
            <a:gd name="connsiteY3" fmla="*/ 1431319 h 1431319"/>
            <a:gd name="connsiteX0" fmla="*/ 1602637 w 1602637"/>
            <a:gd name="connsiteY0" fmla="*/ 1 h 1431319"/>
            <a:gd name="connsiteX1" fmla="*/ 633815 w 1602637"/>
            <a:gd name="connsiteY1" fmla="*/ 0 h 1431319"/>
            <a:gd name="connsiteX2" fmla="*/ 539304 w 1602637"/>
            <a:gd name="connsiteY2" fmla="*/ 64314 h 1431319"/>
            <a:gd name="connsiteX3" fmla="*/ 0 w 1602637"/>
            <a:gd name="connsiteY3" fmla="*/ 1431319 h 14313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602637" h="1431319">
              <a:moveTo>
                <a:pt x="1602637" y="1"/>
              </a:moveTo>
              <a:lnTo>
                <a:pt x="633815" y="0"/>
              </a:lnTo>
              <a:cubicBezTo>
                <a:pt x="592095" y="0"/>
                <a:pt x="554615" y="25505"/>
                <a:pt x="539304" y="64314"/>
              </a:cubicBezTo>
              <a:lnTo>
                <a:pt x="0" y="1431319"/>
              </a:lnTo>
            </a:path>
          </a:pathLst>
        </a:custGeom>
        <a:noFill/>
        <a:ln w="3175" cap="flat" cmpd="sng" algn="ctr">
          <a:solidFill>
            <a:srgbClr val="B5C5BA">
              <a:alpha val="60000"/>
            </a:srgbClr>
          </a:solidFill>
          <a:prstDash val="sysDash"/>
          <a:miter lim="800000"/>
          <a:headEnd type="none" w="med" len="med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>
            <a:solidFill>
              <a:srgbClr val="B5C5BA"/>
            </a:solidFill>
          </a:endParaRPr>
        </a:p>
      </xdr:txBody>
    </xdr:sp>
    <xdr:clientData/>
  </xdr:twoCellAnchor>
  <xdr:twoCellAnchor>
    <xdr:from>
      <xdr:col>8</xdr:col>
      <xdr:colOff>20244</xdr:colOff>
      <xdr:row>52</xdr:row>
      <xdr:rowOff>160264</xdr:rowOff>
    </xdr:from>
    <xdr:to>
      <xdr:col>8</xdr:col>
      <xdr:colOff>161192</xdr:colOff>
      <xdr:row>55</xdr:row>
      <xdr:rowOff>80596</xdr:rowOff>
    </xdr:to>
    <xdr:sp macro="" textlink="">
      <xdr:nvSpPr>
        <xdr:cNvPr id="53" name="Freeform 36">
          <a:extLst>
            <a:ext uri="{FF2B5EF4-FFF2-40B4-BE49-F238E27FC236}">
              <a16:creationId xmlns:a16="http://schemas.microsoft.com/office/drawing/2014/main" id="{72BEF12E-715A-43C2-9086-E8CAB41C1468}"/>
            </a:ext>
          </a:extLst>
        </xdr:cNvPr>
        <xdr:cNvSpPr/>
      </xdr:nvSpPr>
      <xdr:spPr bwMode="gray">
        <a:xfrm rot="16200000">
          <a:off x="2398235" y="10670331"/>
          <a:ext cx="806890" cy="140948"/>
        </a:xfrm>
        <a:custGeom>
          <a:avLst/>
          <a:gdLst>
            <a:gd name="connsiteX0" fmla="*/ 1615338 w 1615338"/>
            <a:gd name="connsiteY0" fmla="*/ 12700 h 1431319"/>
            <a:gd name="connsiteX1" fmla="*/ 633815 w 1615338"/>
            <a:gd name="connsiteY1" fmla="*/ 0 h 1431319"/>
            <a:gd name="connsiteX2" fmla="*/ 539304 w 1615338"/>
            <a:gd name="connsiteY2" fmla="*/ 64314 h 1431319"/>
            <a:gd name="connsiteX3" fmla="*/ 0 w 1615338"/>
            <a:gd name="connsiteY3" fmla="*/ 1431319 h 1431319"/>
            <a:gd name="connsiteX0" fmla="*/ 1602637 w 1602637"/>
            <a:gd name="connsiteY0" fmla="*/ 1 h 1431319"/>
            <a:gd name="connsiteX1" fmla="*/ 633815 w 1602637"/>
            <a:gd name="connsiteY1" fmla="*/ 0 h 1431319"/>
            <a:gd name="connsiteX2" fmla="*/ 539304 w 1602637"/>
            <a:gd name="connsiteY2" fmla="*/ 64314 h 1431319"/>
            <a:gd name="connsiteX3" fmla="*/ 0 w 1602637"/>
            <a:gd name="connsiteY3" fmla="*/ 1431319 h 14313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602637" h="1431319">
              <a:moveTo>
                <a:pt x="1602637" y="1"/>
              </a:moveTo>
              <a:lnTo>
                <a:pt x="633815" y="0"/>
              </a:lnTo>
              <a:cubicBezTo>
                <a:pt x="592095" y="0"/>
                <a:pt x="554615" y="25505"/>
                <a:pt x="539304" y="64314"/>
              </a:cubicBezTo>
              <a:lnTo>
                <a:pt x="0" y="1431319"/>
              </a:lnTo>
            </a:path>
          </a:pathLst>
        </a:custGeom>
        <a:noFill/>
        <a:ln w="3175" cap="flat" cmpd="sng" algn="ctr">
          <a:solidFill>
            <a:srgbClr val="B5C5BA">
              <a:alpha val="60000"/>
            </a:srgbClr>
          </a:solidFill>
          <a:prstDash val="sysDash"/>
          <a:miter lim="800000"/>
          <a:headEnd type="none" w="med" len="med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>
            <a:solidFill>
              <a:srgbClr val="B5C5BA"/>
            </a:solidFill>
          </a:endParaRPr>
        </a:p>
      </xdr:txBody>
    </xdr:sp>
    <xdr:clientData/>
  </xdr:twoCellAnchor>
  <xdr:twoCellAnchor>
    <xdr:from>
      <xdr:col>7</xdr:col>
      <xdr:colOff>359018</xdr:colOff>
      <xdr:row>51</xdr:row>
      <xdr:rowOff>4377</xdr:rowOff>
    </xdr:from>
    <xdr:to>
      <xdr:col>8</xdr:col>
      <xdr:colOff>578883</xdr:colOff>
      <xdr:row>52</xdr:row>
      <xdr:rowOff>152431</xdr:rowOff>
    </xdr:to>
    <xdr:sp macro="" textlink="">
      <xdr:nvSpPr>
        <xdr:cNvPr id="54" name="TextBox 205">
          <a:extLst>
            <a:ext uri="{FF2B5EF4-FFF2-40B4-BE49-F238E27FC236}">
              <a16:creationId xmlns:a16="http://schemas.microsoft.com/office/drawing/2014/main" id="{2D5B878D-2A6E-476E-92C3-59297BCB4649}"/>
            </a:ext>
          </a:extLst>
        </xdr:cNvPr>
        <xdr:cNvSpPr txBox="1"/>
      </xdr:nvSpPr>
      <xdr:spPr>
        <a:xfrm>
          <a:off x="2461845" y="9990973"/>
          <a:ext cx="82800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предполагаемая</a:t>
          </a:r>
        </a:p>
        <a:p>
          <a:pPr algn="ctr"/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валюта платежа</a:t>
          </a:r>
        </a:p>
      </xdr:txBody>
    </xdr:sp>
    <xdr:clientData/>
  </xdr:twoCellAnchor>
  <xdr:twoCellAnchor>
    <xdr:from>
      <xdr:col>8</xdr:col>
      <xdr:colOff>534863</xdr:colOff>
      <xdr:row>50</xdr:row>
      <xdr:rowOff>87924</xdr:rowOff>
    </xdr:from>
    <xdr:to>
      <xdr:col>10</xdr:col>
      <xdr:colOff>175845</xdr:colOff>
      <xdr:row>52</xdr:row>
      <xdr:rowOff>152431</xdr:rowOff>
    </xdr:to>
    <xdr:sp macro="" textlink="">
      <xdr:nvSpPr>
        <xdr:cNvPr id="55" name="TextBox 198">
          <a:extLst>
            <a:ext uri="{FF2B5EF4-FFF2-40B4-BE49-F238E27FC236}">
              <a16:creationId xmlns:a16="http://schemas.microsoft.com/office/drawing/2014/main" id="{D13079D2-EDF1-4213-825B-8B4403142748}"/>
            </a:ext>
          </a:extLst>
        </xdr:cNvPr>
        <xdr:cNvSpPr txBox="1"/>
      </xdr:nvSpPr>
      <xdr:spPr>
        <a:xfrm>
          <a:off x="3245825" y="9884020"/>
          <a:ext cx="857251" cy="44550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предполагаемая сумма</a:t>
          </a:r>
        </a:p>
        <a:p>
          <a:pPr algn="ctr"/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платежа</a:t>
          </a:r>
        </a:p>
      </xdr:txBody>
    </xdr:sp>
    <xdr:clientData/>
  </xdr:twoCellAnchor>
  <xdr:twoCellAnchor>
    <xdr:from>
      <xdr:col>9</xdr:col>
      <xdr:colOff>424962</xdr:colOff>
      <xdr:row>52</xdr:row>
      <xdr:rowOff>160264</xdr:rowOff>
    </xdr:from>
    <xdr:to>
      <xdr:col>9</xdr:col>
      <xdr:colOff>535036</xdr:colOff>
      <xdr:row>55</xdr:row>
      <xdr:rowOff>51286</xdr:rowOff>
    </xdr:to>
    <xdr:sp macro="" textlink="">
      <xdr:nvSpPr>
        <xdr:cNvPr id="56" name="Freeform 36">
          <a:extLst>
            <a:ext uri="{FF2B5EF4-FFF2-40B4-BE49-F238E27FC236}">
              <a16:creationId xmlns:a16="http://schemas.microsoft.com/office/drawing/2014/main" id="{E988A82B-9BBE-4E6D-847F-9432889E5B9E}"/>
            </a:ext>
          </a:extLst>
        </xdr:cNvPr>
        <xdr:cNvSpPr/>
      </xdr:nvSpPr>
      <xdr:spPr bwMode="gray">
        <a:xfrm rot="16200000" flipV="1">
          <a:off x="3410305" y="10671113"/>
          <a:ext cx="777580" cy="110074"/>
        </a:xfrm>
        <a:custGeom>
          <a:avLst/>
          <a:gdLst>
            <a:gd name="connsiteX0" fmla="*/ 1615338 w 1615338"/>
            <a:gd name="connsiteY0" fmla="*/ 12700 h 1431319"/>
            <a:gd name="connsiteX1" fmla="*/ 633815 w 1615338"/>
            <a:gd name="connsiteY1" fmla="*/ 0 h 1431319"/>
            <a:gd name="connsiteX2" fmla="*/ 539304 w 1615338"/>
            <a:gd name="connsiteY2" fmla="*/ 64314 h 1431319"/>
            <a:gd name="connsiteX3" fmla="*/ 0 w 1615338"/>
            <a:gd name="connsiteY3" fmla="*/ 1431319 h 1431319"/>
            <a:gd name="connsiteX0" fmla="*/ 1602637 w 1602637"/>
            <a:gd name="connsiteY0" fmla="*/ 1 h 1431319"/>
            <a:gd name="connsiteX1" fmla="*/ 633815 w 1602637"/>
            <a:gd name="connsiteY1" fmla="*/ 0 h 1431319"/>
            <a:gd name="connsiteX2" fmla="*/ 539304 w 1602637"/>
            <a:gd name="connsiteY2" fmla="*/ 64314 h 1431319"/>
            <a:gd name="connsiteX3" fmla="*/ 0 w 1602637"/>
            <a:gd name="connsiteY3" fmla="*/ 1431319 h 14313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602637" h="1431319">
              <a:moveTo>
                <a:pt x="1602637" y="1"/>
              </a:moveTo>
              <a:lnTo>
                <a:pt x="633815" y="0"/>
              </a:lnTo>
              <a:cubicBezTo>
                <a:pt x="592095" y="0"/>
                <a:pt x="554615" y="25505"/>
                <a:pt x="539304" y="64314"/>
              </a:cubicBezTo>
              <a:lnTo>
                <a:pt x="0" y="1431319"/>
              </a:lnTo>
            </a:path>
          </a:pathLst>
        </a:custGeom>
        <a:ln w="3175" cap="flat" cmpd="sng" algn="ctr">
          <a:solidFill>
            <a:srgbClr val="B5C5BA">
              <a:alpha val="60000"/>
            </a:srgbClr>
          </a:solidFill>
          <a:prstDash val="sysDash"/>
          <a:miter lim="800000"/>
          <a:headEnd type="none" w="med" len="med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>
    <xdr:from>
      <xdr:col>10</xdr:col>
      <xdr:colOff>147018</xdr:colOff>
      <xdr:row>51</xdr:row>
      <xdr:rowOff>4377</xdr:rowOff>
    </xdr:from>
    <xdr:to>
      <xdr:col>11</xdr:col>
      <xdr:colOff>351691</xdr:colOff>
      <xdr:row>52</xdr:row>
      <xdr:rowOff>152431</xdr:rowOff>
    </xdr:to>
    <xdr:sp macro="" textlink="">
      <xdr:nvSpPr>
        <xdr:cNvPr id="57" name="TextBox 200">
          <a:extLst>
            <a:ext uri="{FF2B5EF4-FFF2-40B4-BE49-F238E27FC236}">
              <a16:creationId xmlns:a16="http://schemas.microsoft.com/office/drawing/2014/main" id="{F924A0B5-2B98-4573-8C28-EFC1759075B0}"/>
            </a:ext>
          </a:extLst>
        </xdr:cNvPr>
        <xdr:cNvSpPr txBox="1"/>
      </xdr:nvSpPr>
      <xdr:spPr>
        <a:xfrm>
          <a:off x="4074249" y="9990973"/>
          <a:ext cx="812807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ставка НДС</a:t>
          </a:r>
        </a:p>
        <a:p>
          <a:pPr algn="ctr"/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(при наличии)</a:t>
          </a:r>
        </a:p>
      </xdr:txBody>
    </xdr:sp>
    <xdr:clientData/>
  </xdr:twoCellAnchor>
  <xdr:twoCellAnchor>
    <xdr:from>
      <xdr:col>10</xdr:col>
      <xdr:colOff>373673</xdr:colOff>
      <xdr:row>52</xdr:row>
      <xdr:rowOff>160264</xdr:rowOff>
    </xdr:from>
    <xdr:to>
      <xdr:col>10</xdr:col>
      <xdr:colOff>587427</xdr:colOff>
      <xdr:row>55</xdr:row>
      <xdr:rowOff>80595</xdr:rowOff>
    </xdr:to>
    <xdr:sp macro="" textlink="">
      <xdr:nvSpPr>
        <xdr:cNvPr id="58" name="Freeform 36">
          <a:extLst>
            <a:ext uri="{FF2B5EF4-FFF2-40B4-BE49-F238E27FC236}">
              <a16:creationId xmlns:a16="http://schemas.microsoft.com/office/drawing/2014/main" id="{1C50471C-8E6C-4D19-9239-124EEE041AC2}"/>
            </a:ext>
          </a:extLst>
        </xdr:cNvPr>
        <xdr:cNvSpPr/>
      </xdr:nvSpPr>
      <xdr:spPr bwMode="gray">
        <a:xfrm rot="5400000" flipH="1">
          <a:off x="4004336" y="10633928"/>
          <a:ext cx="806889" cy="213754"/>
        </a:xfrm>
        <a:custGeom>
          <a:avLst/>
          <a:gdLst>
            <a:gd name="connsiteX0" fmla="*/ 1615338 w 1615338"/>
            <a:gd name="connsiteY0" fmla="*/ 12700 h 1431319"/>
            <a:gd name="connsiteX1" fmla="*/ 633815 w 1615338"/>
            <a:gd name="connsiteY1" fmla="*/ 0 h 1431319"/>
            <a:gd name="connsiteX2" fmla="*/ 539304 w 1615338"/>
            <a:gd name="connsiteY2" fmla="*/ 64314 h 1431319"/>
            <a:gd name="connsiteX3" fmla="*/ 0 w 1615338"/>
            <a:gd name="connsiteY3" fmla="*/ 1431319 h 1431319"/>
            <a:gd name="connsiteX0" fmla="*/ 1602637 w 1602637"/>
            <a:gd name="connsiteY0" fmla="*/ 1 h 1431319"/>
            <a:gd name="connsiteX1" fmla="*/ 633815 w 1602637"/>
            <a:gd name="connsiteY1" fmla="*/ 0 h 1431319"/>
            <a:gd name="connsiteX2" fmla="*/ 539304 w 1602637"/>
            <a:gd name="connsiteY2" fmla="*/ 64314 h 1431319"/>
            <a:gd name="connsiteX3" fmla="*/ 0 w 1602637"/>
            <a:gd name="connsiteY3" fmla="*/ 1431319 h 14313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602637" h="1431319">
              <a:moveTo>
                <a:pt x="1602637" y="1"/>
              </a:moveTo>
              <a:lnTo>
                <a:pt x="633815" y="0"/>
              </a:lnTo>
              <a:cubicBezTo>
                <a:pt x="592095" y="0"/>
                <a:pt x="554615" y="25505"/>
                <a:pt x="539304" y="64314"/>
              </a:cubicBezTo>
              <a:lnTo>
                <a:pt x="0" y="1431319"/>
              </a:lnTo>
            </a:path>
          </a:pathLst>
        </a:custGeom>
        <a:ln w="3175" cap="flat" cmpd="sng" algn="ctr">
          <a:solidFill>
            <a:srgbClr val="B5C5BA">
              <a:alpha val="60000"/>
            </a:srgbClr>
          </a:solidFill>
          <a:prstDash val="sysDash"/>
          <a:miter lim="800000"/>
          <a:headEnd type="none" w="med" len="med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>
            <a:solidFill>
              <a:srgbClr val="B5C5BA"/>
            </a:solidFill>
          </a:endParaRPr>
        </a:p>
      </xdr:txBody>
    </xdr:sp>
    <xdr:clientData/>
  </xdr:twoCellAnchor>
  <xdr:twoCellAnchor>
    <xdr:from>
      <xdr:col>11</xdr:col>
      <xdr:colOff>388329</xdr:colOff>
      <xdr:row>51</xdr:row>
      <xdr:rowOff>4377</xdr:rowOff>
    </xdr:from>
    <xdr:to>
      <xdr:col>13</xdr:col>
      <xdr:colOff>186752</xdr:colOff>
      <xdr:row>52</xdr:row>
      <xdr:rowOff>152431</xdr:rowOff>
    </xdr:to>
    <xdr:sp macro="" textlink="">
      <xdr:nvSpPr>
        <xdr:cNvPr id="60" name="TextBox 204">
          <a:extLst>
            <a:ext uri="{FF2B5EF4-FFF2-40B4-BE49-F238E27FC236}">
              <a16:creationId xmlns:a16="http://schemas.microsoft.com/office/drawing/2014/main" id="{FF702C89-6C6F-4C5F-8391-0815080C6E9E}"/>
            </a:ext>
          </a:extLst>
        </xdr:cNvPr>
        <xdr:cNvSpPr txBox="1"/>
      </xdr:nvSpPr>
      <xdr:spPr>
        <a:xfrm>
          <a:off x="4923694" y="9990973"/>
          <a:ext cx="104400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комментарий по источникам данных</a:t>
          </a:r>
        </a:p>
      </xdr:txBody>
    </xdr:sp>
    <xdr:clientData/>
  </xdr:twoCellAnchor>
  <xdr:twoCellAnchor>
    <xdr:from>
      <xdr:col>11</xdr:col>
      <xdr:colOff>359021</xdr:colOff>
      <xdr:row>57</xdr:row>
      <xdr:rowOff>87923</xdr:rowOff>
    </xdr:from>
    <xdr:to>
      <xdr:col>13</xdr:col>
      <xdr:colOff>293077</xdr:colOff>
      <xdr:row>58</xdr:row>
      <xdr:rowOff>127823</xdr:rowOff>
    </xdr:to>
    <xdr:sp macro="" textlink="">
      <xdr:nvSpPr>
        <xdr:cNvPr id="61" name="Прямоугольник: скругленные углы 60">
          <a:extLst>
            <a:ext uri="{FF2B5EF4-FFF2-40B4-BE49-F238E27FC236}">
              <a16:creationId xmlns:a16="http://schemas.microsoft.com/office/drawing/2014/main" id="{78F66842-1442-4249-8C4A-E579D886E80F}"/>
            </a:ext>
          </a:extLst>
        </xdr:cNvPr>
        <xdr:cNvSpPr/>
      </xdr:nvSpPr>
      <xdr:spPr>
        <a:xfrm>
          <a:off x="4894386" y="11532577"/>
          <a:ext cx="1179633" cy="230400"/>
        </a:xfrm>
        <a:prstGeom prst="roundRect">
          <a:avLst/>
        </a:prstGeom>
        <a:solidFill>
          <a:schemeClr val="bg1">
            <a:alpha val="53000"/>
          </a:schemeClr>
        </a:solidFill>
        <a:ln w="3175">
          <a:gradFill flip="none" rotWithShape="1">
            <a:gsLst>
              <a:gs pos="0">
                <a:srgbClr val="F7C7A7"/>
              </a:gs>
              <a:gs pos="12000">
                <a:schemeClr val="bg1"/>
              </a:gs>
              <a:gs pos="87000">
                <a:schemeClr val="bg1"/>
              </a:gs>
              <a:gs pos="100000">
                <a:srgbClr val="F7C7A7"/>
              </a:gs>
            </a:gsLst>
            <a:lin ang="10800000" scaled="1"/>
            <a:tileRect/>
          </a:gra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800">
              <a:solidFill>
                <a:srgbClr val="EE8137"/>
              </a:solidFill>
              <a:latin typeface="Arial Narrow" panose="020B0606020202030204" pitchFamily="34" charset="0"/>
            </a:rPr>
            <a:t>сумма платежа</a:t>
          </a:r>
        </a:p>
        <a:p>
          <a:pPr algn="ctr"/>
          <a:r>
            <a:rPr lang="ru-RU" sz="800">
              <a:solidFill>
                <a:srgbClr val="EE8137"/>
              </a:solidFill>
              <a:latin typeface="Arial Narrow" panose="020B0606020202030204" pitchFamily="34" charset="0"/>
            </a:rPr>
            <a:t>распределяется как 100 %</a:t>
          </a:r>
        </a:p>
      </xdr:txBody>
    </xdr:sp>
    <xdr:clientData/>
  </xdr:twoCellAnchor>
  <xdr:twoCellAnchor>
    <xdr:from>
      <xdr:col>13</xdr:col>
      <xdr:colOff>161193</xdr:colOff>
      <xdr:row>51</xdr:row>
      <xdr:rowOff>15149</xdr:rowOff>
    </xdr:from>
    <xdr:to>
      <xdr:col>16</xdr:col>
      <xdr:colOff>446942</xdr:colOff>
      <xdr:row>52</xdr:row>
      <xdr:rowOff>152431</xdr:rowOff>
    </xdr:to>
    <xdr:sp macro="" textlink="">
      <xdr:nvSpPr>
        <xdr:cNvPr id="62" name="TextBox 201">
          <a:extLst>
            <a:ext uri="{FF2B5EF4-FFF2-40B4-BE49-F238E27FC236}">
              <a16:creationId xmlns:a16="http://schemas.microsoft.com/office/drawing/2014/main" id="{C4B11EFA-B2DF-4B8D-A2EA-C2F15E4D29BE}"/>
            </a:ext>
          </a:extLst>
        </xdr:cNvPr>
        <xdr:cNvSpPr txBox="1"/>
      </xdr:nvSpPr>
      <xdr:spPr>
        <a:xfrm>
          <a:off x="5942135" y="10001745"/>
          <a:ext cx="2110153" cy="327782"/>
        </a:xfrm>
        <a:prstGeom prst="rect">
          <a:avLst/>
        </a:prstGeom>
        <a:solidFill>
          <a:schemeClr val="bg1">
            <a:alpha val="92000"/>
          </a:schemeClr>
        </a:solidFill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как мы распределяем затраты во времени - </a:t>
          </a:r>
        </a:p>
        <a:p>
          <a:pPr algn="ctr"/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предоплата</a:t>
          </a:r>
          <a:r>
            <a:rPr lang="ru-RU" sz="800" baseline="0">
              <a:solidFill>
                <a:srgbClr val="B5C5BA"/>
              </a:solidFill>
              <a:latin typeface="Arial Narrow" panose="020B0606020202030204" pitchFamily="34" charset="0"/>
            </a:rPr>
            <a:t> /</a:t>
          </a:r>
          <a:r>
            <a:rPr lang="ru-RU" sz="800">
              <a:solidFill>
                <a:srgbClr val="B5C5BA"/>
              </a:solidFill>
              <a:latin typeface="Arial Narrow" panose="020B0606020202030204" pitchFamily="34" charset="0"/>
            </a:rPr>
            <a:t> рассрочка оплаты ?</a:t>
          </a:r>
        </a:p>
      </xdr:txBody>
    </xdr:sp>
    <xdr:clientData/>
  </xdr:twoCellAnchor>
  <xdr:twoCellAnchor>
    <xdr:from>
      <xdr:col>14</xdr:col>
      <xdr:colOff>549519</xdr:colOff>
      <xdr:row>52</xdr:row>
      <xdr:rowOff>160265</xdr:rowOff>
    </xdr:from>
    <xdr:to>
      <xdr:col>14</xdr:col>
      <xdr:colOff>595238</xdr:colOff>
      <xdr:row>55</xdr:row>
      <xdr:rowOff>123631</xdr:rowOff>
    </xdr:to>
    <xdr:sp macro="" textlink="">
      <xdr:nvSpPr>
        <xdr:cNvPr id="63" name="Freeform 36">
          <a:extLst>
            <a:ext uri="{FF2B5EF4-FFF2-40B4-BE49-F238E27FC236}">
              <a16:creationId xmlns:a16="http://schemas.microsoft.com/office/drawing/2014/main" id="{60293CFF-AA3E-4A9F-9634-431B7816E167}"/>
            </a:ext>
          </a:extLst>
        </xdr:cNvPr>
        <xdr:cNvSpPr/>
      </xdr:nvSpPr>
      <xdr:spPr bwMode="gray">
        <a:xfrm rot="5400000" flipH="1">
          <a:off x="6536494" y="10739463"/>
          <a:ext cx="849924" cy="45719"/>
        </a:xfrm>
        <a:custGeom>
          <a:avLst/>
          <a:gdLst>
            <a:gd name="connsiteX0" fmla="*/ 1615338 w 1615338"/>
            <a:gd name="connsiteY0" fmla="*/ 12700 h 1431319"/>
            <a:gd name="connsiteX1" fmla="*/ 633815 w 1615338"/>
            <a:gd name="connsiteY1" fmla="*/ 0 h 1431319"/>
            <a:gd name="connsiteX2" fmla="*/ 539304 w 1615338"/>
            <a:gd name="connsiteY2" fmla="*/ 64314 h 1431319"/>
            <a:gd name="connsiteX3" fmla="*/ 0 w 1615338"/>
            <a:gd name="connsiteY3" fmla="*/ 1431319 h 1431319"/>
            <a:gd name="connsiteX0" fmla="*/ 1602637 w 1602637"/>
            <a:gd name="connsiteY0" fmla="*/ 1 h 1431319"/>
            <a:gd name="connsiteX1" fmla="*/ 633815 w 1602637"/>
            <a:gd name="connsiteY1" fmla="*/ 0 h 1431319"/>
            <a:gd name="connsiteX2" fmla="*/ 539304 w 1602637"/>
            <a:gd name="connsiteY2" fmla="*/ 64314 h 1431319"/>
            <a:gd name="connsiteX3" fmla="*/ 0 w 1602637"/>
            <a:gd name="connsiteY3" fmla="*/ 1431319 h 14313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602637" h="1431319">
              <a:moveTo>
                <a:pt x="1602637" y="1"/>
              </a:moveTo>
              <a:lnTo>
                <a:pt x="633815" y="0"/>
              </a:lnTo>
              <a:cubicBezTo>
                <a:pt x="592095" y="0"/>
                <a:pt x="554615" y="25505"/>
                <a:pt x="539304" y="64314"/>
              </a:cubicBezTo>
              <a:lnTo>
                <a:pt x="0" y="1431319"/>
              </a:lnTo>
            </a:path>
          </a:pathLst>
        </a:custGeom>
        <a:noFill/>
        <a:ln w="3175" cap="flat" cmpd="sng" algn="ctr">
          <a:solidFill>
            <a:srgbClr val="B5C5BA">
              <a:alpha val="60000"/>
            </a:srgbClr>
          </a:solidFill>
          <a:prstDash val="sysDash"/>
          <a:miter lim="800000"/>
          <a:headEnd type="none" w="med" len="med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>
            <a:solidFill>
              <a:srgbClr val="B5C5BA"/>
            </a:solidFill>
          </a:endParaRPr>
        </a:p>
      </xdr:txBody>
    </xdr:sp>
    <xdr:clientData/>
  </xdr:twoCellAnchor>
  <xdr:twoCellAnchor>
    <xdr:from>
      <xdr:col>11</xdr:col>
      <xdr:colOff>526073</xdr:colOff>
      <xdr:row>52</xdr:row>
      <xdr:rowOff>160264</xdr:rowOff>
    </xdr:from>
    <xdr:to>
      <xdr:col>12</xdr:col>
      <xdr:colOff>102384</xdr:colOff>
      <xdr:row>55</xdr:row>
      <xdr:rowOff>80595</xdr:rowOff>
    </xdr:to>
    <xdr:sp macro="" textlink="">
      <xdr:nvSpPr>
        <xdr:cNvPr id="64" name="Freeform 36">
          <a:extLst>
            <a:ext uri="{FF2B5EF4-FFF2-40B4-BE49-F238E27FC236}">
              <a16:creationId xmlns:a16="http://schemas.microsoft.com/office/drawing/2014/main" id="{9638E785-202F-4DC7-9BD5-9CDAADFEFD3C}"/>
            </a:ext>
          </a:extLst>
        </xdr:cNvPr>
        <xdr:cNvSpPr/>
      </xdr:nvSpPr>
      <xdr:spPr bwMode="gray">
        <a:xfrm rot="5400000" flipH="1">
          <a:off x="4764870" y="10633928"/>
          <a:ext cx="806889" cy="213754"/>
        </a:xfrm>
        <a:custGeom>
          <a:avLst/>
          <a:gdLst>
            <a:gd name="connsiteX0" fmla="*/ 1615338 w 1615338"/>
            <a:gd name="connsiteY0" fmla="*/ 12700 h 1431319"/>
            <a:gd name="connsiteX1" fmla="*/ 633815 w 1615338"/>
            <a:gd name="connsiteY1" fmla="*/ 0 h 1431319"/>
            <a:gd name="connsiteX2" fmla="*/ 539304 w 1615338"/>
            <a:gd name="connsiteY2" fmla="*/ 64314 h 1431319"/>
            <a:gd name="connsiteX3" fmla="*/ 0 w 1615338"/>
            <a:gd name="connsiteY3" fmla="*/ 1431319 h 1431319"/>
            <a:gd name="connsiteX0" fmla="*/ 1602637 w 1602637"/>
            <a:gd name="connsiteY0" fmla="*/ 1 h 1431319"/>
            <a:gd name="connsiteX1" fmla="*/ 633815 w 1602637"/>
            <a:gd name="connsiteY1" fmla="*/ 0 h 1431319"/>
            <a:gd name="connsiteX2" fmla="*/ 539304 w 1602637"/>
            <a:gd name="connsiteY2" fmla="*/ 64314 h 1431319"/>
            <a:gd name="connsiteX3" fmla="*/ 0 w 1602637"/>
            <a:gd name="connsiteY3" fmla="*/ 1431319 h 14313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602637" h="1431319">
              <a:moveTo>
                <a:pt x="1602637" y="1"/>
              </a:moveTo>
              <a:lnTo>
                <a:pt x="633815" y="0"/>
              </a:lnTo>
              <a:cubicBezTo>
                <a:pt x="592095" y="0"/>
                <a:pt x="554615" y="25505"/>
                <a:pt x="539304" y="64314"/>
              </a:cubicBezTo>
              <a:lnTo>
                <a:pt x="0" y="1431319"/>
              </a:lnTo>
            </a:path>
          </a:pathLst>
        </a:custGeom>
        <a:ln w="3175" cap="flat" cmpd="sng" algn="ctr">
          <a:solidFill>
            <a:srgbClr val="B5C5BA">
              <a:alpha val="60000"/>
            </a:srgbClr>
          </a:solidFill>
          <a:prstDash val="sysDash"/>
          <a:miter lim="800000"/>
          <a:headEnd type="none" w="med" len="med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>
            <a:solidFill>
              <a:srgbClr val="B5C5BA"/>
            </a:solidFill>
          </a:endParaRPr>
        </a:p>
      </xdr:txBody>
    </xdr:sp>
    <xdr:clientData/>
  </xdr:twoCellAnchor>
  <xdr:twoCellAnchor>
    <xdr:from>
      <xdr:col>5</xdr:col>
      <xdr:colOff>483578</xdr:colOff>
      <xdr:row>60</xdr:row>
      <xdr:rowOff>0</xdr:rowOff>
    </xdr:from>
    <xdr:to>
      <xdr:col>6</xdr:col>
      <xdr:colOff>337040</xdr:colOff>
      <xdr:row>61</xdr:row>
      <xdr:rowOff>36635</xdr:rowOff>
    </xdr:to>
    <xdr:sp macro="" textlink="">
      <xdr:nvSpPr>
        <xdr:cNvPr id="65" name="Овал 64">
          <a:extLst>
            <a:ext uri="{FF2B5EF4-FFF2-40B4-BE49-F238E27FC236}">
              <a16:creationId xmlns:a16="http://schemas.microsoft.com/office/drawing/2014/main" id="{C2882ABF-0E54-4251-AFB9-88D148DCFE48}"/>
            </a:ext>
          </a:extLst>
        </xdr:cNvPr>
        <xdr:cNvSpPr/>
      </xdr:nvSpPr>
      <xdr:spPr>
        <a:xfrm>
          <a:off x="1370136" y="11825654"/>
          <a:ext cx="461596" cy="227135"/>
        </a:xfrm>
        <a:prstGeom prst="ellipse">
          <a:avLst/>
        </a:prstGeom>
        <a:noFill/>
        <a:ln w="6350">
          <a:solidFill>
            <a:srgbClr val="F7C7A7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564350</xdr:colOff>
      <xdr:row>73</xdr:row>
      <xdr:rowOff>180306</xdr:rowOff>
    </xdr:from>
    <xdr:to>
      <xdr:col>10</xdr:col>
      <xdr:colOff>226337</xdr:colOff>
      <xdr:row>87</xdr:row>
      <xdr:rowOff>89500</xdr:rowOff>
    </xdr:to>
    <xdr:grpSp>
      <xdr:nvGrpSpPr>
        <xdr:cNvPr id="42" name="Группа 41">
          <a:extLst>
            <a:ext uri="{FF2B5EF4-FFF2-40B4-BE49-F238E27FC236}">
              <a16:creationId xmlns:a16="http://schemas.microsoft.com/office/drawing/2014/main" id="{E10C660A-45C0-4204-8E5E-544779439E8C}"/>
            </a:ext>
          </a:extLst>
        </xdr:cNvPr>
        <xdr:cNvGrpSpPr/>
      </xdr:nvGrpSpPr>
      <xdr:grpSpPr>
        <a:xfrm>
          <a:off x="862524" y="14583763"/>
          <a:ext cx="3339465" cy="2576194"/>
          <a:chOff x="0" y="0"/>
          <a:chExt cx="4437016" cy="3994358"/>
        </a:xfrm>
      </xdr:grpSpPr>
      <xdr:pic>
        <xdr:nvPicPr>
          <xdr:cNvPr id="44" name="Рисунок 43">
            <a:extLst>
              <a:ext uri="{FF2B5EF4-FFF2-40B4-BE49-F238E27FC236}">
                <a16:creationId xmlns:a16="http://schemas.microsoft.com/office/drawing/2014/main" id="{E0101247-B46A-41E9-A728-B3EA988C5B6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406" t="20693" r="16875" b="8751"/>
          <a:stretch/>
        </xdr:blipFill>
        <xdr:spPr>
          <a:xfrm rot="19858634">
            <a:off x="1908" y="0"/>
            <a:ext cx="2824163" cy="1371582"/>
          </a:xfrm>
          <a:prstGeom prst="rect">
            <a:avLst/>
          </a:prstGeom>
        </xdr:spPr>
      </xdr:pic>
      <xdr:pic>
        <xdr:nvPicPr>
          <xdr:cNvPr id="45" name="Рисунок 44">
            <a:extLst>
              <a:ext uri="{FF2B5EF4-FFF2-40B4-BE49-F238E27FC236}">
                <a16:creationId xmlns:a16="http://schemas.microsoft.com/office/drawing/2014/main" id="{85A41DE1-A491-4374-AB2A-1AA37D7F04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690" t="20051" r="10022" b="9594"/>
          <a:stretch/>
        </xdr:blipFill>
        <xdr:spPr>
          <a:xfrm>
            <a:off x="0" y="658335"/>
            <a:ext cx="4437016" cy="2011680"/>
          </a:xfrm>
          <a:prstGeom prst="rect">
            <a:avLst/>
          </a:prstGeom>
        </xdr:spPr>
      </xdr:pic>
      <xdr:pic>
        <xdr:nvPicPr>
          <xdr:cNvPr id="46" name="Рисунок 45">
            <a:extLst>
              <a:ext uri="{FF2B5EF4-FFF2-40B4-BE49-F238E27FC236}">
                <a16:creationId xmlns:a16="http://schemas.microsoft.com/office/drawing/2014/main" id="{F7B4C008-6BE6-4CC5-A79F-B23E14CB6E1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1187" t="20279" r="26360" b="30362"/>
          <a:stretch/>
        </xdr:blipFill>
        <xdr:spPr>
          <a:xfrm rot="640763">
            <a:off x="37628" y="2461336"/>
            <a:ext cx="4000499" cy="1533022"/>
          </a:xfrm>
          <a:prstGeom prst="rect">
            <a:avLst/>
          </a:prstGeom>
        </xdr:spPr>
      </xdr:pic>
    </xdr:grpSp>
    <xdr:clientData/>
  </xdr:twoCellAnchor>
  <xdr:twoCellAnchor>
    <xdr:from>
      <xdr:col>16</xdr:col>
      <xdr:colOff>434837</xdr:colOff>
      <xdr:row>45</xdr:row>
      <xdr:rowOff>84737</xdr:rowOff>
    </xdr:from>
    <xdr:to>
      <xdr:col>18</xdr:col>
      <xdr:colOff>598323</xdr:colOff>
      <xdr:row>48</xdr:row>
      <xdr:rowOff>21330</xdr:rowOff>
    </xdr:to>
    <xdr:sp macro="" textlink="">
      <xdr:nvSpPr>
        <xdr:cNvPr id="47" name="Прямоугольник: скругленные углы 46">
          <a:extLst>
            <a:ext uri="{FF2B5EF4-FFF2-40B4-BE49-F238E27FC236}">
              <a16:creationId xmlns:a16="http://schemas.microsoft.com/office/drawing/2014/main" id="{5ED0ABBB-26C2-46A1-A3E4-48F6D50D217D}"/>
            </a:ext>
          </a:extLst>
        </xdr:cNvPr>
        <xdr:cNvSpPr/>
      </xdr:nvSpPr>
      <xdr:spPr>
        <a:xfrm>
          <a:off x="8145946" y="8740063"/>
          <a:ext cx="1389312" cy="508093"/>
        </a:xfrm>
        <a:prstGeom prst="roundRect">
          <a:avLst/>
        </a:prstGeom>
        <a:solidFill>
          <a:schemeClr val="bg1">
            <a:alpha val="53000"/>
          </a:schemeClr>
        </a:solidFill>
        <a:ln w="3175">
          <a:gradFill flip="none" rotWithShape="1">
            <a:gsLst>
              <a:gs pos="0">
                <a:srgbClr val="F7C7A7"/>
              </a:gs>
              <a:gs pos="12000">
                <a:schemeClr val="bg1"/>
              </a:gs>
              <a:gs pos="87000">
                <a:schemeClr val="bg1"/>
              </a:gs>
              <a:gs pos="100000">
                <a:srgbClr val="F7C7A7"/>
              </a:gs>
            </a:gsLst>
            <a:lin ang="10800000" scaled="1"/>
            <a:tileRect/>
          </a:gra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800">
              <a:solidFill>
                <a:srgbClr val="EE8137"/>
              </a:solidFill>
              <a:latin typeface="Arial Narrow" panose="020B0606020202030204" pitchFamily="34" charset="0"/>
            </a:rPr>
            <a:t>предзаполнение имеет целью</a:t>
          </a:r>
        </a:p>
        <a:p>
          <a:pPr algn="ctr"/>
          <a:r>
            <a:rPr lang="ru-RU" sz="800">
              <a:solidFill>
                <a:srgbClr val="EE8137"/>
              </a:solidFill>
              <a:latin typeface="Arial Narrow" panose="020B0606020202030204" pitchFamily="34" charset="0"/>
            </a:rPr>
            <a:t>помочь не ошибиться</a:t>
          </a:r>
        </a:p>
        <a:p>
          <a:pPr algn="ctr"/>
          <a:r>
            <a:rPr lang="ru-RU" sz="800">
              <a:solidFill>
                <a:srgbClr val="EE8137"/>
              </a:solidFill>
              <a:latin typeface="Arial Narrow" panose="020B0606020202030204" pitchFamily="34" charset="0"/>
            </a:rPr>
            <a:t>с размерностью</a:t>
          </a:r>
        </a:p>
      </xdr:txBody>
    </xdr:sp>
    <xdr:clientData/>
  </xdr:twoCellAnchor>
  <xdr:twoCellAnchor>
    <xdr:from>
      <xdr:col>19</xdr:col>
      <xdr:colOff>66674</xdr:colOff>
      <xdr:row>24</xdr:row>
      <xdr:rowOff>0</xdr:rowOff>
    </xdr:from>
    <xdr:to>
      <xdr:col>19</xdr:col>
      <xdr:colOff>238125</xdr:colOff>
      <xdr:row>27</xdr:row>
      <xdr:rowOff>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135F8017-79DC-454C-9DA8-4F7CF9B5C71E}"/>
            </a:ext>
          </a:extLst>
        </xdr:cNvPr>
        <xdr:cNvSpPr txBox="1"/>
      </xdr:nvSpPr>
      <xdr:spPr>
        <a:xfrm>
          <a:off x="9616522" y="4654826"/>
          <a:ext cx="171451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ru-RU" sz="1200">
              <a:solidFill>
                <a:schemeClr val="accent2">
                  <a:lumMod val="75000"/>
                  <a:alpha val="49000"/>
                </a:schemeClr>
              </a:solidFill>
            </a:rPr>
            <a:t>:)</a:t>
          </a:r>
        </a:p>
      </xdr:txBody>
    </xdr:sp>
    <xdr:clientData/>
  </xdr:twoCellAnchor>
  <xdr:twoCellAnchor>
    <xdr:from>
      <xdr:col>14</xdr:col>
      <xdr:colOff>567194</xdr:colOff>
      <xdr:row>24</xdr:row>
      <xdr:rowOff>0</xdr:rowOff>
    </xdr:from>
    <xdr:to>
      <xdr:col>15</xdr:col>
      <xdr:colOff>0</xdr:colOff>
      <xdr:row>27</xdr:row>
      <xdr:rowOff>9524</xdr:rowOff>
    </xdr:to>
    <xdr:sp macro="" textlink="">
      <xdr:nvSpPr>
        <xdr:cNvPr id="2" name="Левая круглая скобка 1">
          <a:extLst>
            <a:ext uri="{FF2B5EF4-FFF2-40B4-BE49-F238E27FC236}">
              <a16:creationId xmlns:a16="http://schemas.microsoft.com/office/drawing/2014/main" id="{E95B87A4-5263-489E-9C40-B77097AE2761}"/>
            </a:ext>
          </a:extLst>
        </xdr:cNvPr>
        <xdr:cNvSpPr/>
      </xdr:nvSpPr>
      <xdr:spPr>
        <a:xfrm>
          <a:off x="7052477" y="4654826"/>
          <a:ext cx="45719" cy="581024"/>
        </a:xfrm>
        <a:prstGeom prst="leftBracket">
          <a:avLst/>
        </a:prstGeom>
        <a:ln>
          <a:solidFill>
            <a:srgbClr val="F7C7A7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211667</xdr:colOff>
      <xdr:row>65</xdr:row>
      <xdr:rowOff>0</xdr:rowOff>
    </xdr:from>
    <xdr:to>
      <xdr:col>37</xdr:col>
      <xdr:colOff>497418</xdr:colOff>
      <xdr:row>87</xdr:row>
      <xdr:rowOff>8708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094" t="20905" r="40994" b="14849"/>
        <a:stretch/>
      </xdr:blipFill>
      <xdr:spPr bwMode="auto">
        <a:xfrm>
          <a:off x="10033000" y="8699500"/>
          <a:ext cx="3968750" cy="4144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30</xdr:col>
      <xdr:colOff>222248</xdr:colOff>
      <xdr:row>90</xdr:row>
      <xdr:rowOff>78432</xdr:rowOff>
    </xdr:from>
    <xdr:to>
      <xdr:col>37</xdr:col>
      <xdr:colOff>275166</xdr:colOff>
      <xdr:row>107</xdr:row>
      <xdr:rowOff>125940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782" t="15457" r="48754" b="23453"/>
        <a:stretch/>
      </xdr:blipFill>
      <xdr:spPr bwMode="auto">
        <a:xfrm>
          <a:off x="16943915" y="13159432"/>
          <a:ext cx="4349751" cy="32553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30815</xdr:colOff>
      <xdr:row>48</xdr:row>
      <xdr:rowOff>153521</xdr:rowOff>
    </xdr:from>
    <xdr:to>
      <xdr:col>9</xdr:col>
      <xdr:colOff>549087</xdr:colOff>
      <xdr:row>54</xdr:row>
      <xdr:rowOff>58270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DF4BF04-48D2-4652-A4DF-5974F3DB1271}"/>
            </a:ext>
          </a:extLst>
        </xdr:cNvPr>
        <xdr:cNvSpPr/>
      </xdr:nvSpPr>
      <xdr:spPr>
        <a:xfrm>
          <a:off x="30815" y="9409580"/>
          <a:ext cx="10368243" cy="1047749"/>
        </a:xfrm>
        <a:prstGeom prst="rect">
          <a:avLst/>
        </a:prstGeom>
        <a:solidFill>
          <a:srgbClr val="F7C7A7">
            <a:alpha val="22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>
    <xdr:from>
      <xdr:col>2</xdr:col>
      <xdr:colOff>300322</xdr:colOff>
      <xdr:row>33</xdr:row>
      <xdr:rowOff>38099</xdr:rowOff>
    </xdr:from>
    <xdr:to>
      <xdr:col>9</xdr:col>
      <xdr:colOff>713261</xdr:colOff>
      <xdr:row>57</xdr:row>
      <xdr:rowOff>85725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BBC5E1FE-2E82-42EF-A0FB-739FAF083A77}"/>
            </a:ext>
          </a:extLst>
        </xdr:cNvPr>
        <xdr:cNvGrpSpPr/>
      </xdr:nvGrpSpPr>
      <xdr:grpSpPr>
        <a:xfrm>
          <a:off x="759763" y="6436658"/>
          <a:ext cx="9803469" cy="4619626"/>
          <a:chOff x="759763" y="6436658"/>
          <a:chExt cx="9803469" cy="4619626"/>
        </a:xfrm>
      </xdr:grpSpPr>
      <xdr:graphicFrame macro="">
        <xdr:nvGraphicFramePr>
          <xdr:cNvPr id="4" name="Диаграмма 3">
            <a:extLst>
              <a:ext uri="{FF2B5EF4-FFF2-40B4-BE49-F238E27FC236}">
                <a16:creationId xmlns:a16="http://schemas.microsoft.com/office/drawing/2014/main" id="{9A5741E0-CFE9-4B23-A268-0F373349D18E}"/>
              </a:ext>
            </a:extLst>
          </xdr:cNvPr>
          <xdr:cNvGraphicFramePr>
            <a:graphicFrameLocks/>
          </xdr:cNvGraphicFramePr>
        </xdr:nvGraphicFramePr>
        <xdr:xfrm>
          <a:off x="759763" y="6436658"/>
          <a:ext cx="6759384" cy="46196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Диаграмма 4">
            <a:extLst>
              <a:ext uri="{FF2B5EF4-FFF2-40B4-BE49-F238E27FC236}">
                <a16:creationId xmlns:a16="http://schemas.microsoft.com/office/drawing/2014/main" id="{7AE15672-50D4-45DC-8A39-35FBF964AE0A}"/>
              </a:ext>
            </a:extLst>
          </xdr:cNvPr>
          <xdr:cNvGraphicFramePr>
            <a:graphicFrameLocks/>
          </xdr:cNvGraphicFramePr>
        </xdr:nvGraphicFramePr>
        <xdr:xfrm>
          <a:off x="4642604" y="6512858"/>
          <a:ext cx="5920628" cy="3990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10</xdr:col>
      <xdr:colOff>22412</xdr:colOff>
      <xdr:row>32</xdr:row>
      <xdr:rowOff>10646</xdr:rowOff>
    </xdr:from>
    <xdr:to>
      <xdr:col>16</xdr:col>
      <xdr:colOff>958663</xdr:colOff>
      <xdr:row>48</xdr:row>
      <xdr:rowOff>100854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F424F40-608F-4451-8080-983241921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560295</xdr:colOff>
      <xdr:row>50</xdr:row>
      <xdr:rowOff>86286</xdr:rowOff>
    </xdr:from>
    <xdr:to>
      <xdr:col>13</xdr:col>
      <xdr:colOff>896470</xdr:colOff>
      <xdr:row>59</xdr:row>
      <xdr:rowOff>76761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5A29378A-D66D-4FD3-9CBB-137DD0CAF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503979</xdr:colOff>
      <xdr:row>59</xdr:row>
      <xdr:rowOff>128589</xdr:rowOff>
    </xdr:from>
    <xdr:to>
      <xdr:col>14</xdr:col>
      <xdr:colOff>594466</xdr:colOff>
      <xdr:row>63</xdr:row>
      <xdr:rowOff>14289</xdr:rowOff>
    </xdr:to>
    <xdr:sp macro="" textlink="">
      <xdr:nvSpPr>
        <xdr:cNvPr id="8" name="Равнобедренный треугольник 7">
          <a:extLst>
            <a:ext uri="{FF2B5EF4-FFF2-40B4-BE49-F238E27FC236}">
              <a16:creationId xmlns:a16="http://schemas.microsoft.com/office/drawing/2014/main" id="{A6A60231-F0B1-403C-A6CB-3FC7EBB3A919}"/>
            </a:ext>
          </a:extLst>
        </xdr:cNvPr>
        <xdr:cNvSpPr/>
      </xdr:nvSpPr>
      <xdr:spPr>
        <a:xfrm rot="5400000">
          <a:off x="14949902" y="11557048"/>
          <a:ext cx="647700" cy="90487"/>
        </a:xfrm>
        <a:prstGeom prst="triangle">
          <a:avLst/>
        </a:prstGeom>
        <a:solidFill>
          <a:srgbClr val="F7C7A7">
            <a:alpha val="4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963144</xdr:colOff>
      <xdr:row>60</xdr:row>
      <xdr:rowOff>66674</xdr:rowOff>
    </xdr:from>
    <xdr:to>
      <xdr:col>16</xdr:col>
      <xdr:colOff>456232</xdr:colOff>
      <xdr:row>62</xdr:row>
      <xdr:rowOff>153674</xdr:rowOff>
    </xdr:to>
    <xdr:sp macro="" textlink="">
      <xdr:nvSpPr>
        <xdr:cNvPr id="9" name="Овал 8">
          <a:extLst>
            <a:ext uri="{FF2B5EF4-FFF2-40B4-BE49-F238E27FC236}">
              <a16:creationId xmlns:a16="http://schemas.microsoft.com/office/drawing/2014/main" id="{BA4A0788-8454-4240-A8E1-986A4C0222A2}"/>
            </a:ext>
          </a:extLst>
        </xdr:cNvPr>
        <xdr:cNvSpPr/>
      </xdr:nvSpPr>
      <xdr:spPr>
        <a:xfrm>
          <a:off x="16662585" y="11407027"/>
          <a:ext cx="468000" cy="468000"/>
        </a:xfrm>
        <a:prstGeom prst="ellipse">
          <a:avLst/>
        </a:prstGeom>
        <a:noFill/>
        <a:ln w="3175">
          <a:solidFill>
            <a:schemeClr val="accent2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200025</xdr:colOff>
      <xdr:row>49</xdr:row>
      <xdr:rowOff>119344</xdr:rowOff>
    </xdr:from>
    <xdr:to>
      <xdr:col>6</xdr:col>
      <xdr:colOff>134471</xdr:colOff>
      <xdr:row>50</xdr:row>
      <xdr:rowOff>89648</xdr:rowOff>
    </xdr:to>
    <xdr:sp macro="" textlink="">
      <xdr:nvSpPr>
        <xdr:cNvPr id="10" name="TextBox 75">
          <a:extLst>
            <a:ext uri="{FF2B5EF4-FFF2-40B4-BE49-F238E27FC236}">
              <a16:creationId xmlns:a16="http://schemas.microsoft.com/office/drawing/2014/main" id="{4A42C499-5A97-4654-9FA6-B7193E7CB8D4}"/>
            </a:ext>
          </a:extLst>
        </xdr:cNvPr>
        <xdr:cNvSpPr txBox="1"/>
      </xdr:nvSpPr>
      <xdr:spPr>
        <a:xfrm>
          <a:off x="6284819" y="9565903"/>
          <a:ext cx="786093" cy="16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100">
              <a:solidFill>
                <a:schemeClr val="accent2">
                  <a:lumMod val="75000"/>
                </a:schemeClr>
              </a:solidFill>
              <a:latin typeface="Arial Narrow" panose="020B0606020202030204" pitchFamily="34" charset="0"/>
            </a:rPr>
            <a:t>ТОП</a:t>
          </a:r>
          <a:r>
            <a:rPr lang="ru-RU" sz="1100" baseline="0">
              <a:solidFill>
                <a:schemeClr val="accent2">
                  <a:lumMod val="75000"/>
                </a:schemeClr>
              </a:solidFill>
              <a:latin typeface="Arial Narrow" panose="020B0606020202030204" pitchFamily="34" charset="0"/>
            </a:rPr>
            <a:t> - </a:t>
          </a:r>
          <a:r>
            <a:rPr lang="ru-RU" sz="1400" baseline="0">
              <a:solidFill>
                <a:schemeClr val="accent2">
                  <a:lumMod val="75000"/>
                </a:schemeClr>
              </a:solidFill>
              <a:latin typeface="Arial Narrow" panose="020B0606020202030204" pitchFamily="34" charset="0"/>
            </a:rPr>
            <a:t>5</a:t>
          </a:r>
          <a:endParaRPr lang="ru-RU" sz="1400">
            <a:solidFill>
              <a:schemeClr val="accent2">
                <a:lumMod val="75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268941</xdr:colOff>
      <xdr:row>249</xdr:row>
      <xdr:rowOff>168088</xdr:rowOff>
    </xdr:from>
    <xdr:to>
      <xdr:col>19</xdr:col>
      <xdr:colOff>78441</xdr:colOff>
      <xdr:row>274</xdr:row>
      <xdr:rowOff>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DEA5557-C020-4A55-A5AE-5713EE168BF5}"/>
            </a:ext>
          </a:extLst>
        </xdr:cNvPr>
        <xdr:cNvSpPr/>
      </xdr:nvSpPr>
      <xdr:spPr>
        <a:xfrm>
          <a:off x="448235" y="50919529"/>
          <a:ext cx="19229294" cy="4594412"/>
        </a:xfrm>
        <a:prstGeom prst="rect">
          <a:avLst/>
        </a:prstGeom>
        <a:noFill/>
        <a:ln w="9525">
          <a:solidFill>
            <a:srgbClr val="F7C7A7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CC53B8E-3A57-4AE1-8438-7266C777FEC9}" autoFormatId="16" applyNumberFormats="0" applyBorderFormats="0" applyFontFormats="0" applyPatternFormats="0" applyAlignmentFormats="0" applyWidthHeightFormats="0">
  <queryTableRefresh nextId="6">
    <queryTableFields count="5">
      <queryTableField id="1" name="Цифр. код" tableColumnId="1"/>
      <queryTableField id="2" name="Букв. код" tableColumnId="2"/>
      <queryTableField id="3" name="Единиц" tableColumnId="3"/>
      <queryTableField id="4" name="Валюта" tableColumnId="4"/>
      <queryTableField id="5" name="Курс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082E31-B377-4FB2-8830-1EF1224FA417}" name="Table_1" displayName="Table_1" ref="A1:E44" tableType="queryTable" totalsRowShown="0">
  <sortState ref="A2:E44">
    <sortCondition ref="B2"/>
  </sortState>
  <tableColumns count="5">
    <tableColumn id="1" xr3:uid="{2AEDE22D-C8B6-4653-9658-0D3277F2F04F}" uniqueName="1" name="Цифр. код" queryTableFieldId="1"/>
    <tableColumn id="2" xr3:uid="{4CCE27B5-CFF2-4C1A-9B7E-558EC352CB1C}" uniqueName="2" name="Букв. код" queryTableFieldId="2" dataDxfId="111"/>
    <tableColumn id="3" xr3:uid="{C5709A60-E463-41D9-BA10-425F883E3FF5}" uniqueName="3" name="Единиц" queryTableFieldId="3"/>
    <tableColumn id="4" xr3:uid="{C855B64A-6A7B-48C9-820F-3D6C0EF7BF28}" uniqueName="4" name="Валюта" queryTableFieldId="4" dataDxfId="110"/>
    <tableColumn id="5" xr3:uid="{10953FA4-EBB1-438C-8951-E73867C8B6AD}" uniqueName="5" name="Курс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379D-393A-4E06-B873-71EE1BFC4AC7}">
  <sheetPr codeName="Лист1">
    <tabColor rgb="FFE2EFDA"/>
  </sheetPr>
  <dimension ref="D1:AA97"/>
  <sheetViews>
    <sheetView showGridLines="0" tabSelected="1" zoomScale="115" zoomScaleNormal="115" workbookViewId="0">
      <selection activeCell="M17" sqref="M17:S19"/>
    </sheetView>
  </sheetViews>
  <sheetFormatPr defaultRowHeight="15" x14ac:dyDescent="0.25"/>
  <cols>
    <col min="1" max="3" width="0.140625" customWidth="1"/>
    <col min="4" max="4" width="4.140625" customWidth="1"/>
    <col min="9" max="9" width="9.140625" customWidth="1"/>
    <col min="12" max="12" width="10" customWidth="1"/>
    <col min="20" max="20" width="9.85546875" customWidth="1"/>
  </cols>
  <sheetData>
    <row r="1" spans="4:19" x14ac:dyDescent="0.25"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4:19" ht="21" x14ac:dyDescent="0.35">
      <c r="D2" s="70"/>
      <c r="E2" s="98" t="s">
        <v>281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4:19" x14ac:dyDescent="0.25"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4:19" x14ac:dyDescent="0.25">
      <c r="D4" s="70"/>
      <c r="E4" s="70" t="s">
        <v>282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4:19" x14ac:dyDescent="0.25">
      <c r="D5" s="70"/>
      <c r="E5" s="70" t="s">
        <v>280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4:19" x14ac:dyDescent="0.25"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4:19" x14ac:dyDescent="0.25">
      <c r="D7" s="70"/>
      <c r="E7" s="70"/>
      <c r="F7" s="73" t="s">
        <v>283</v>
      </c>
      <c r="G7" s="73"/>
      <c r="H7" s="73"/>
      <c r="I7" s="73"/>
      <c r="J7" s="73"/>
      <c r="K7" s="73"/>
      <c r="L7" s="73"/>
      <c r="M7" s="73"/>
      <c r="N7" s="70"/>
      <c r="O7" s="70"/>
      <c r="P7" s="70"/>
      <c r="Q7" s="70"/>
      <c r="R7" s="70"/>
      <c r="S7" s="70"/>
    </row>
    <row r="8" spans="4:19" x14ac:dyDescent="0.25"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</row>
    <row r="9" spans="4:19" x14ac:dyDescent="0.25">
      <c r="D9" s="70"/>
      <c r="E9" s="70"/>
      <c r="F9" s="73" t="s">
        <v>173</v>
      </c>
      <c r="G9" s="73"/>
      <c r="H9" s="73"/>
      <c r="I9" s="73"/>
      <c r="J9" s="73"/>
      <c r="K9" s="73"/>
      <c r="L9" s="73"/>
      <c r="M9" s="73"/>
      <c r="N9" s="70"/>
      <c r="O9" s="70"/>
      <c r="P9" s="70"/>
      <c r="Q9" s="70"/>
      <c r="R9" s="70"/>
      <c r="S9" s="70"/>
    </row>
    <row r="10" spans="4:19" x14ac:dyDescent="0.25"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</row>
    <row r="11" spans="4:19" x14ac:dyDescent="0.25">
      <c r="D11" s="70"/>
      <c r="E11" s="70"/>
      <c r="F11" s="73" t="s">
        <v>174</v>
      </c>
      <c r="G11" s="73"/>
      <c r="H11" s="73"/>
      <c r="I11" s="73"/>
      <c r="J11" s="73"/>
      <c r="K11" s="73"/>
      <c r="L11" s="73"/>
      <c r="M11" s="73"/>
      <c r="N11" s="70"/>
      <c r="O11" s="70"/>
      <c r="P11" s="70"/>
      <c r="Q11" s="70"/>
      <c r="R11" s="70"/>
      <c r="S11" s="70"/>
    </row>
    <row r="12" spans="4:19" x14ac:dyDescent="0.25"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</row>
    <row r="13" spans="4:19" x14ac:dyDescent="0.25">
      <c r="D13" s="70"/>
      <c r="E13" s="70"/>
      <c r="F13" s="73" t="s">
        <v>175</v>
      </c>
      <c r="G13" s="73"/>
      <c r="H13" s="73"/>
      <c r="I13" s="73"/>
      <c r="J13" s="73"/>
      <c r="K13" s="73"/>
      <c r="L13" s="73"/>
      <c r="M13" s="73"/>
      <c r="N13" s="70"/>
      <c r="O13" s="70"/>
      <c r="P13" s="70"/>
      <c r="Q13" s="70"/>
      <c r="R13" s="70"/>
      <c r="S13" s="70"/>
    </row>
    <row r="14" spans="4:19" x14ac:dyDescent="0.25"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</row>
    <row r="15" spans="4:19" x14ac:dyDescent="0.25"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</row>
    <row r="16" spans="4:19" x14ac:dyDescent="0.25">
      <c r="D16" s="70"/>
      <c r="E16" s="70" t="s">
        <v>176</v>
      </c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</row>
    <row r="17" spans="4:19" x14ac:dyDescent="0.25">
      <c r="D17" s="70"/>
      <c r="E17" s="70"/>
      <c r="F17" s="70"/>
      <c r="G17" s="70"/>
      <c r="H17" s="70"/>
      <c r="I17" s="70"/>
      <c r="J17" s="70"/>
      <c r="K17" s="70"/>
      <c r="L17" s="70"/>
      <c r="M17" s="307" t="s">
        <v>169</v>
      </c>
      <c r="N17" s="308"/>
      <c r="O17" s="308"/>
      <c r="P17" s="308"/>
      <c r="Q17" s="308"/>
      <c r="R17" s="308"/>
      <c r="S17" s="308"/>
    </row>
    <row r="18" spans="4:19" x14ac:dyDescent="0.25">
      <c r="D18" s="74" t="s">
        <v>285</v>
      </c>
      <c r="E18" s="70"/>
      <c r="F18" s="70" t="s">
        <v>177</v>
      </c>
      <c r="G18" s="70"/>
      <c r="H18" s="70"/>
      <c r="I18" s="70"/>
      <c r="J18" s="70"/>
      <c r="K18" s="74" t="s">
        <v>168</v>
      </c>
      <c r="L18" s="74"/>
      <c r="M18" s="308"/>
      <c r="N18" s="308"/>
      <c r="O18" s="308"/>
      <c r="P18" s="308"/>
      <c r="Q18" s="308"/>
      <c r="R18" s="308"/>
      <c r="S18" s="308"/>
    </row>
    <row r="19" spans="4:19" x14ac:dyDescent="0.25">
      <c r="D19" s="70"/>
      <c r="E19" s="70"/>
      <c r="F19" s="70"/>
      <c r="G19" s="70"/>
      <c r="H19" s="70"/>
      <c r="I19" s="70"/>
      <c r="J19" s="70"/>
      <c r="K19" s="70"/>
      <c r="L19" s="70"/>
      <c r="M19" s="308"/>
      <c r="N19" s="308"/>
      <c r="O19" s="308"/>
      <c r="P19" s="308"/>
      <c r="Q19" s="308"/>
      <c r="R19" s="308"/>
      <c r="S19" s="308"/>
    </row>
    <row r="20" spans="4:19" x14ac:dyDescent="0.25"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spans="4:19" x14ac:dyDescent="0.25">
      <c r="D21" s="74" t="s">
        <v>285</v>
      </c>
      <c r="E21" s="70"/>
      <c r="F21" s="70" t="s">
        <v>178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4:19" ht="15.75" x14ac:dyDescent="0.25">
      <c r="D22" s="70"/>
      <c r="E22" s="70"/>
      <c r="F22" s="70" t="s">
        <v>286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</row>
    <row r="23" spans="4:19" x14ac:dyDescent="0.25"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</row>
    <row r="24" spans="4:19" x14ac:dyDescent="0.25">
      <c r="D24" s="70"/>
      <c r="E24" s="70"/>
      <c r="F24" s="70"/>
      <c r="G24" s="99" t="s">
        <v>159</v>
      </c>
      <c r="H24" s="101" t="s">
        <v>15</v>
      </c>
      <c r="J24" s="70"/>
      <c r="K24" s="70"/>
      <c r="L24" s="100" t="s">
        <v>161</v>
      </c>
      <c r="M24" s="309" t="s">
        <v>284</v>
      </c>
      <c r="N24" s="310"/>
      <c r="O24" s="103" t="s">
        <v>287</v>
      </c>
      <c r="Q24" s="70"/>
      <c r="R24" s="70"/>
      <c r="S24" s="70"/>
    </row>
    <row r="25" spans="4:19" ht="15" customHeight="1" x14ac:dyDescent="0.25">
      <c r="D25" s="70"/>
      <c r="E25" s="70"/>
      <c r="F25" s="76"/>
      <c r="G25" s="94"/>
      <c r="H25" s="95"/>
      <c r="I25" s="94"/>
      <c r="J25" s="94"/>
      <c r="K25" s="94"/>
      <c r="L25" s="100" t="s">
        <v>288</v>
      </c>
      <c r="M25" s="311" t="s">
        <v>246</v>
      </c>
      <c r="N25" s="312"/>
      <c r="O25" s="103" t="str">
        <f>INDEX(Table_1[Букв. код],MATCH('Приветствие !'!$M$25,Table_1[Валюта],0))</f>
        <v>AED</v>
      </c>
      <c r="P25" s="315" t="s">
        <v>184</v>
      </c>
      <c r="S25" s="17"/>
    </row>
    <row r="26" spans="4:19" x14ac:dyDescent="0.25">
      <c r="D26" s="70"/>
      <c r="E26" s="70"/>
      <c r="F26" s="76"/>
      <c r="G26" s="94"/>
      <c r="H26" s="95"/>
      <c r="I26" s="94"/>
      <c r="J26" s="94"/>
      <c r="K26" s="94"/>
      <c r="L26" s="100" t="s">
        <v>288</v>
      </c>
      <c r="M26" s="311" t="s">
        <v>247</v>
      </c>
      <c r="N26" s="312"/>
      <c r="O26" s="103" t="str">
        <f>INDEX(Table_1[Букв. код],MATCH('Приветствие !'!$M$26,Table_1[Валюта],0))</f>
        <v>USD</v>
      </c>
      <c r="P26" s="315" t="s">
        <v>333</v>
      </c>
      <c r="S26" s="89"/>
    </row>
    <row r="27" spans="4:19" x14ac:dyDescent="0.25">
      <c r="D27" s="70"/>
      <c r="E27" s="70"/>
      <c r="F27" s="76"/>
      <c r="G27" s="94"/>
      <c r="H27" s="95"/>
      <c r="I27" s="94"/>
      <c r="J27" s="94"/>
      <c r="K27" s="94"/>
      <c r="L27" s="100" t="s">
        <v>288</v>
      </c>
      <c r="M27" s="311" t="s">
        <v>256</v>
      </c>
      <c r="N27" s="312"/>
      <c r="O27" s="103" t="str">
        <f>INDEX(Table_1[Букв. код],MATCH('Приветствие !'!$M$27,Table_1[Валюта],0))</f>
        <v>CNY</v>
      </c>
      <c r="P27" s="315" t="s">
        <v>332</v>
      </c>
      <c r="S27" s="90">
        <v>0.01</v>
      </c>
    </row>
    <row r="28" spans="4:19" x14ac:dyDescent="0.25">
      <c r="D28" s="70"/>
      <c r="E28" s="70"/>
      <c r="F28" s="70"/>
      <c r="G28" s="70"/>
      <c r="H28" s="71"/>
      <c r="I28" s="70"/>
      <c r="J28" s="70"/>
      <c r="K28" s="70"/>
      <c r="L28" s="70"/>
      <c r="M28" s="71"/>
      <c r="N28" s="70"/>
      <c r="O28" s="75"/>
      <c r="P28" s="70"/>
      <c r="Q28" s="70"/>
      <c r="R28" s="70"/>
      <c r="S28" s="70"/>
    </row>
    <row r="29" spans="4:19" x14ac:dyDescent="0.25"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</row>
    <row r="30" spans="4:19" x14ac:dyDescent="0.25">
      <c r="D30" s="74" t="s">
        <v>285</v>
      </c>
      <c r="E30" s="70"/>
      <c r="F30" s="70" t="s">
        <v>185</v>
      </c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spans="4:19" x14ac:dyDescent="0.25"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</row>
    <row r="32" spans="4:19" x14ac:dyDescent="0.25">
      <c r="D32" s="70"/>
      <c r="E32" s="70"/>
      <c r="F32" s="103" t="s">
        <v>291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</row>
    <row r="33" spans="4:23" x14ac:dyDescent="0.25">
      <c r="D33" s="70"/>
      <c r="E33" s="70"/>
      <c r="F33" s="70"/>
      <c r="G33" s="70"/>
      <c r="H33" s="108">
        <v>1</v>
      </c>
      <c r="I33" s="108">
        <v>2</v>
      </c>
      <c r="J33" s="108">
        <v>3</v>
      </c>
      <c r="K33" s="108">
        <v>4</v>
      </c>
      <c r="L33" s="108">
        <v>5</v>
      </c>
      <c r="M33" s="108">
        <v>6</v>
      </c>
      <c r="N33" s="108">
        <v>7</v>
      </c>
      <c r="O33" s="108">
        <v>8</v>
      </c>
      <c r="P33" s="108">
        <v>9</v>
      </c>
      <c r="Q33" s="108">
        <v>10</v>
      </c>
      <c r="R33" s="108">
        <v>11</v>
      </c>
      <c r="S33" s="108">
        <v>12</v>
      </c>
    </row>
    <row r="34" spans="4:23" ht="15" customHeight="1" x14ac:dyDescent="0.25">
      <c r="D34" s="70"/>
      <c r="E34" s="70"/>
      <c r="F34" s="70"/>
      <c r="G34" s="112" t="str">
        <f>$O$25&amp;"/RUB"</f>
        <v>AED/RUB</v>
      </c>
      <c r="H34" s="111">
        <f>VLOOKUP($O25,'Курсы валют'!B:E,4,FALSE)</f>
        <v>23.985600000000002</v>
      </c>
      <c r="I34" s="110">
        <f>H34</f>
        <v>23.985600000000002</v>
      </c>
      <c r="J34" s="110">
        <f t="shared" ref="J34:S34" si="0">I34</f>
        <v>23.985600000000002</v>
      </c>
      <c r="K34" s="110">
        <f t="shared" si="0"/>
        <v>23.985600000000002</v>
      </c>
      <c r="L34" s="110">
        <f t="shared" si="0"/>
        <v>23.985600000000002</v>
      </c>
      <c r="M34" s="110">
        <f t="shared" si="0"/>
        <v>23.985600000000002</v>
      </c>
      <c r="N34" s="110">
        <f t="shared" si="0"/>
        <v>23.985600000000002</v>
      </c>
      <c r="O34" s="110">
        <f t="shared" si="0"/>
        <v>23.985600000000002</v>
      </c>
      <c r="P34" s="110">
        <f t="shared" si="0"/>
        <v>23.985600000000002</v>
      </c>
      <c r="Q34" s="110">
        <f t="shared" si="0"/>
        <v>23.985600000000002</v>
      </c>
      <c r="R34" s="110">
        <f t="shared" si="0"/>
        <v>23.985600000000002</v>
      </c>
      <c r="S34" s="110">
        <f t="shared" si="0"/>
        <v>23.985600000000002</v>
      </c>
    </row>
    <row r="35" spans="4:23" ht="15" customHeight="1" x14ac:dyDescent="0.25">
      <c r="D35" s="70"/>
      <c r="E35" s="70"/>
      <c r="F35" s="70"/>
      <c r="G35" s="112" t="str">
        <f>$O$26&amp;"/RUB"</f>
        <v>USD/RUB</v>
      </c>
      <c r="H35" s="111">
        <f>VLOOKUP($O26,'Курсы валют'!B:E,4,FALSE)</f>
        <v>88.087199999999996</v>
      </c>
      <c r="I35" s="110">
        <f t="shared" ref="I35:S36" si="1">H35</f>
        <v>88.087199999999996</v>
      </c>
      <c r="J35" s="110">
        <f t="shared" si="1"/>
        <v>88.087199999999996</v>
      </c>
      <c r="K35" s="110">
        <f t="shared" si="1"/>
        <v>88.087199999999996</v>
      </c>
      <c r="L35" s="110">
        <f t="shared" si="1"/>
        <v>88.087199999999996</v>
      </c>
      <c r="M35" s="110">
        <f t="shared" si="1"/>
        <v>88.087199999999996</v>
      </c>
      <c r="N35" s="110">
        <f t="shared" si="1"/>
        <v>88.087199999999996</v>
      </c>
      <c r="O35" s="110">
        <f t="shared" si="1"/>
        <v>88.087199999999996</v>
      </c>
      <c r="P35" s="110">
        <f t="shared" si="1"/>
        <v>88.087199999999996</v>
      </c>
      <c r="Q35" s="110">
        <f t="shared" si="1"/>
        <v>88.087199999999996</v>
      </c>
      <c r="R35" s="110">
        <f t="shared" si="1"/>
        <v>88.087199999999996</v>
      </c>
      <c r="S35" s="110">
        <f t="shared" si="1"/>
        <v>88.087199999999996</v>
      </c>
    </row>
    <row r="36" spans="4:23" ht="15" customHeight="1" x14ac:dyDescent="0.25">
      <c r="D36" s="70"/>
      <c r="E36" s="70"/>
      <c r="F36" s="70"/>
      <c r="G36" s="112" t="str">
        <f>$O$27&amp;"/RUB"</f>
        <v>CNY/RUB</v>
      </c>
      <c r="H36" s="111">
        <f>VLOOKUP($O27,'Курсы валют'!B:E,4,FALSE)</f>
        <v>12.053699999999999</v>
      </c>
      <c r="I36" s="110">
        <f t="shared" si="1"/>
        <v>12.053699999999999</v>
      </c>
      <c r="J36" s="110">
        <f t="shared" si="1"/>
        <v>12.053699999999999</v>
      </c>
      <c r="K36" s="110">
        <f t="shared" si="1"/>
        <v>12.053699999999999</v>
      </c>
      <c r="L36" s="110">
        <f t="shared" si="1"/>
        <v>12.053699999999999</v>
      </c>
      <c r="M36" s="110">
        <f t="shared" si="1"/>
        <v>12.053699999999999</v>
      </c>
      <c r="N36" s="110">
        <f t="shared" si="1"/>
        <v>12.053699999999999</v>
      </c>
      <c r="O36" s="110">
        <f t="shared" si="1"/>
        <v>12.053699999999999</v>
      </c>
      <c r="P36" s="110">
        <f t="shared" si="1"/>
        <v>12.053699999999999</v>
      </c>
      <c r="Q36" s="110">
        <f t="shared" si="1"/>
        <v>12.053699999999999</v>
      </c>
      <c r="R36" s="110">
        <f t="shared" si="1"/>
        <v>12.053699999999999</v>
      </c>
      <c r="S36" s="110">
        <f t="shared" si="1"/>
        <v>12.053699999999999</v>
      </c>
    </row>
    <row r="37" spans="4:23" x14ac:dyDescent="0.25">
      <c r="D37" s="70"/>
      <c r="E37" s="70"/>
      <c r="F37" s="70"/>
      <c r="G37" s="70"/>
      <c r="H37" s="70"/>
      <c r="I37" s="70"/>
      <c r="J37" s="70"/>
      <c r="K37" s="70"/>
      <c r="L37" s="96"/>
      <c r="M37" s="95"/>
      <c r="N37" s="96"/>
      <c r="O37" s="96"/>
      <c r="P37" s="96"/>
      <c r="Q37" s="97"/>
      <c r="R37" s="70"/>
      <c r="S37" s="70"/>
    </row>
    <row r="38" spans="4:23" x14ac:dyDescent="0.25"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</row>
    <row r="39" spans="4:23" x14ac:dyDescent="0.25">
      <c r="D39" s="74" t="s">
        <v>285</v>
      </c>
      <c r="E39" s="70"/>
      <c r="F39" s="70" t="s">
        <v>171</v>
      </c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</row>
    <row r="40" spans="4:23" x14ac:dyDescent="0.25">
      <c r="D40" s="70"/>
      <c r="E40" s="70"/>
      <c r="F40" s="70"/>
      <c r="G40" s="70"/>
      <c r="H40" s="116">
        <f ca="1">TODAY()</f>
        <v>45503</v>
      </c>
      <c r="I40" s="116">
        <f ca="1">EOMONTH(DATE(YEAR(TODAY()),MONTH(TODAY()),1),H41)</f>
        <v>45535</v>
      </c>
      <c r="J40" s="116">
        <f t="shared" ref="J40:S40" ca="1" si="2">EOMONTH(DATE(YEAR(TODAY()),MONTH(TODAY()),1),I41)</f>
        <v>45565</v>
      </c>
      <c r="K40" s="116">
        <f t="shared" ca="1" si="2"/>
        <v>45596</v>
      </c>
      <c r="L40" s="116">
        <f t="shared" ca="1" si="2"/>
        <v>45626</v>
      </c>
      <c r="M40" s="116">
        <f t="shared" ca="1" si="2"/>
        <v>45657</v>
      </c>
      <c r="N40" s="116">
        <f t="shared" ca="1" si="2"/>
        <v>45688</v>
      </c>
      <c r="O40" s="116">
        <f t="shared" ca="1" si="2"/>
        <v>45716</v>
      </c>
      <c r="P40" s="116">
        <f t="shared" ca="1" si="2"/>
        <v>45747</v>
      </c>
      <c r="Q40" s="116">
        <f t="shared" ca="1" si="2"/>
        <v>45777</v>
      </c>
      <c r="R40" s="116">
        <f t="shared" ca="1" si="2"/>
        <v>45808</v>
      </c>
      <c r="S40" s="116">
        <f t="shared" ca="1" si="2"/>
        <v>45838</v>
      </c>
    </row>
    <row r="41" spans="4:23" x14ac:dyDescent="0.25">
      <c r="D41" s="70"/>
      <c r="E41" s="70"/>
      <c r="F41" s="70"/>
      <c r="G41" s="70"/>
      <c r="H41" s="108">
        <v>1</v>
      </c>
      <c r="I41" s="108">
        <v>2</v>
      </c>
      <c r="J41" s="108">
        <v>3</v>
      </c>
      <c r="K41" s="108">
        <v>4</v>
      </c>
      <c r="L41" s="108">
        <v>5</v>
      </c>
      <c r="M41" s="108">
        <v>6</v>
      </c>
      <c r="N41" s="108">
        <v>7</v>
      </c>
      <c r="O41" s="108">
        <v>8</v>
      </c>
      <c r="P41" s="108">
        <v>9</v>
      </c>
      <c r="Q41" s="108">
        <v>10</v>
      </c>
      <c r="R41" s="108">
        <v>11</v>
      </c>
      <c r="S41" s="108">
        <v>12</v>
      </c>
    </row>
    <row r="42" spans="4:23" x14ac:dyDescent="0.25">
      <c r="D42" s="70"/>
      <c r="E42" s="70"/>
      <c r="F42" s="70"/>
      <c r="G42" s="112" t="s">
        <v>9</v>
      </c>
      <c r="H42" s="117">
        <f ca="1">(1+IF(YEAR(H40)=2024,$H$47%,IF(YEAR(H40)=2025,$I$47%,$J$47%)))^(1/12)-1</f>
        <v>5.5722622652711884E-3</v>
      </c>
      <c r="I42" s="117">
        <f t="shared" ref="I42:S42" ca="1" si="3">(1+IF(YEAR(I40)=2024,$H$47%,IF(YEAR(I40)=2025,$I$47%,$J$47%)))^(1/12)-1</f>
        <v>5.5722622652711884E-3</v>
      </c>
      <c r="J42" s="117">
        <f ca="1">(1+IF(YEAR(J40)=2024,$H$47%,IF(YEAR(J40)=2025,$I$47%,$J$47%)))^(1/12)-1</f>
        <v>5.5722622652711884E-3</v>
      </c>
      <c r="K42" s="117">
        <f t="shared" ca="1" si="3"/>
        <v>5.5722622652711884E-3</v>
      </c>
      <c r="L42" s="117">
        <f t="shared" ca="1" si="3"/>
        <v>5.5722622652711884E-3</v>
      </c>
      <c r="M42" s="117">
        <f ca="1">(1+IF(YEAR(M40)=2024,$H$47%,IF(YEAR(M40)=2025,$I$47%,$J$47%)))^(1/12)-1</f>
        <v>5.5722622652711884E-3</v>
      </c>
      <c r="N42" s="117">
        <f t="shared" ca="1" si="3"/>
        <v>4.2314524504012407E-3</v>
      </c>
      <c r="O42" s="117">
        <f t="shared" ca="1" si="3"/>
        <v>4.2314524504012407E-3</v>
      </c>
      <c r="P42" s="117">
        <f t="shared" ca="1" si="3"/>
        <v>4.2314524504012407E-3</v>
      </c>
      <c r="Q42" s="117">
        <f t="shared" ca="1" si="3"/>
        <v>4.2314524504012407E-3</v>
      </c>
      <c r="R42" s="117">
        <f t="shared" ca="1" si="3"/>
        <v>4.2314524504012407E-3</v>
      </c>
      <c r="S42" s="117">
        <f t="shared" ca="1" si="3"/>
        <v>4.2314524504012407E-3</v>
      </c>
      <c r="T42" s="119">
        <f ca="1">(1+H42)*(1+I42)*(1+J42)*(1+K42)*(1+L42)*(1+M42)*(1+N42)*(1+O42)*(1+P42)*(1+Q42)*(1+R42)*(1+S42)-1</f>
        <v>6.043151833581506E-2</v>
      </c>
      <c r="W42" s="118"/>
    </row>
    <row r="43" spans="4:23" ht="15" customHeight="1" x14ac:dyDescent="0.25">
      <c r="D43" s="70"/>
      <c r="E43" s="70"/>
      <c r="F43" s="70"/>
      <c r="G43" s="112" t="str">
        <f>"инфляция "&amp;$O$25</f>
        <v>инфляция AED</v>
      </c>
      <c r="H43" s="117">
        <f>(1+2%)^(1/12)-1</f>
        <v>1.6515813019202241E-3</v>
      </c>
      <c r="I43" s="117">
        <f t="shared" ref="I43:S43" si="4">(1+2%)^(1/12)-1</f>
        <v>1.6515813019202241E-3</v>
      </c>
      <c r="J43" s="117">
        <f t="shared" si="4"/>
        <v>1.6515813019202241E-3</v>
      </c>
      <c r="K43" s="117">
        <f t="shared" si="4"/>
        <v>1.6515813019202241E-3</v>
      </c>
      <c r="L43" s="117">
        <f t="shared" si="4"/>
        <v>1.6515813019202241E-3</v>
      </c>
      <c r="M43" s="117">
        <f t="shared" si="4"/>
        <v>1.6515813019202241E-3</v>
      </c>
      <c r="N43" s="117">
        <f t="shared" si="4"/>
        <v>1.6515813019202241E-3</v>
      </c>
      <c r="O43" s="117">
        <f t="shared" si="4"/>
        <v>1.6515813019202241E-3</v>
      </c>
      <c r="P43" s="117">
        <f t="shared" si="4"/>
        <v>1.6515813019202241E-3</v>
      </c>
      <c r="Q43" s="117">
        <f t="shared" si="4"/>
        <v>1.6515813019202241E-3</v>
      </c>
      <c r="R43" s="117">
        <f t="shared" si="4"/>
        <v>1.6515813019202241E-3</v>
      </c>
      <c r="S43" s="117">
        <f t="shared" si="4"/>
        <v>1.6515813019202241E-3</v>
      </c>
      <c r="T43" s="119">
        <f t="shared" ref="T43:T45" si="5">(1+H43)*(1+I43)*(1+J43)*(1+K43)*(1+L43)*(1+M43)*(1+N43)*(1+O43)*(1+P43)*(1+Q43)*(1+R43)*(1+S43)-1</f>
        <v>2.000000000000024E-2</v>
      </c>
    </row>
    <row r="44" spans="4:23" ht="15" customHeight="1" x14ac:dyDescent="0.25">
      <c r="D44" s="70"/>
      <c r="E44" s="70"/>
      <c r="F44" s="70"/>
      <c r="G44" s="112" t="str">
        <f>"инфляция "&amp;$O$26</f>
        <v>инфляция USD</v>
      </c>
      <c r="H44" s="117">
        <f t="shared" ref="H44:S45" si="6">(1+2%)^(1/12)-1</f>
        <v>1.6515813019202241E-3</v>
      </c>
      <c r="I44" s="117">
        <f t="shared" si="6"/>
        <v>1.6515813019202241E-3</v>
      </c>
      <c r="J44" s="117">
        <f t="shared" si="6"/>
        <v>1.6515813019202241E-3</v>
      </c>
      <c r="K44" s="117">
        <f t="shared" si="6"/>
        <v>1.6515813019202241E-3</v>
      </c>
      <c r="L44" s="117">
        <f t="shared" si="6"/>
        <v>1.6515813019202241E-3</v>
      </c>
      <c r="M44" s="117">
        <f t="shared" si="6"/>
        <v>1.6515813019202241E-3</v>
      </c>
      <c r="N44" s="117">
        <f t="shared" si="6"/>
        <v>1.6515813019202241E-3</v>
      </c>
      <c r="O44" s="117">
        <f t="shared" si="6"/>
        <v>1.6515813019202241E-3</v>
      </c>
      <c r="P44" s="117">
        <f t="shared" si="6"/>
        <v>1.6515813019202241E-3</v>
      </c>
      <c r="Q44" s="117">
        <f t="shared" si="6"/>
        <v>1.6515813019202241E-3</v>
      </c>
      <c r="R44" s="117">
        <f t="shared" si="6"/>
        <v>1.6515813019202241E-3</v>
      </c>
      <c r="S44" s="117">
        <f t="shared" si="6"/>
        <v>1.6515813019202241E-3</v>
      </c>
      <c r="T44" s="119">
        <f t="shared" si="5"/>
        <v>2.000000000000024E-2</v>
      </c>
    </row>
    <row r="45" spans="4:23" ht="15" customHeight="1" x14ac:dyDescent="0.25">
      <c r="D45" s="70"/>
      <c r="E45" s="70"/>
      <c r="F45" s="70"/>
      <c r="G45" s="112" t="str">
        <f>"инфляция "&amp;$O$27</f>
        <v>инфляция CNY</v>
      </c>
      <c r="H45" s="117">
        <f t="shared" si="6"/>
        <v>1.6515813019202241E-3</v>
      </c>
      <c r="I45" s="117">
        <f t="shared" si="6"/>
        <v>1.6515813019202241E-3</v>
      </c>
      <c r="J45" s="117">
        <f t="shared" si="6"/>
        <v>1.6515813019202241E-3</v>
      </c>
      <c r="K45" s="117">
        <f t="shared" si="6"/>
        <v>1.6515813019202241E-3</v>
      </c>
      <c r="L45" s="117">
        <f t="shared" si="6"/>
        <v>1.6515813019202241E-3</v>
      </c>
      <c r="M45" s="117">
        <f t="shared" si="6"/>
        <v>1.6515813019202241E-3</v>
      </c>
      <c r="N45" s="117">
        <f t="shared" si="6"/>
        <v>1.6515813019202241E-3</v>
      </c>
      <c r="O45" s="117">
        <f t="shared" si="6"/>
        <v>1.6515813019202241E-3</v>
      </c>
      <c r="P45" s="117">
        <f t="shared" si="6"/>
        <v>1.6515813019202241E-3</v>
      </c>
      <c r="Q45" s="117">
        <f t="shared" si="6"/>
        <v>1.6515813019202241E-3</v>
      </c>
      <c r="R45" s="117">
        <f t="shared" si="6"/>
        <v>1.6515813019202241E-3</v>
      </c>
      <c r="S45" s="117">
        <f t="shared" si="6"/>
        <v>1.6515813019202241E-3</v>
      </c>
      <c r="T45" s="119">
        <f t="shared" si="5"/>
        <v>2.000000000000024E-2</v>
      </c>
    </row>
    <row r="46" spans="4:23" x14ac:dyDescent="0.25">
      <c r="D46" s="70"/>
      <c r="E46" s="70"/>
      <c r="F46" s="70"/>
      <c r="G46" s="70"/>
      <c r="H46" s="122">
        <v>2024</v>
      </c>
      <c r="I46" s="122">
        <v>2025</v>
      </c>
      <c r="J46" s="122">
        <v>2026</v>
      </c>
      <c r="K46" s="70"/>
      <c r="L46" s="96"/>
      <c r="M46" s="95"/>
      <c r="N46" s="96"/>
      <c r="O46" s="96"/>
      <c r="P46" s="96"/>
      <c r="Q46" s="97"/>
      <c r="R46" s="70"/>
      <c r="S46" s="70"/>
    </row>
    <row r="47" spans="4:23" x14ac:dyDescent="0.25">
      <c r="D47" s="70"/>
      <c r="E47" s="70"/>
      <c r="F47" s="70"/>
      <c r="G47" s="70"/>
      <c r="H47" s="121">
        <v>6.8955000000000002</v>
      </c>
      <c r="I47" s="121">
        <v>5.1976000000000004</v>
      </c>
      <c r="J47" s="121">
        <v>4.1039000000000003</v>
      </c>
      <c r="K47" s="120" t="s">
        <v>295</v>
      </c>
      <c r="L47" s="70"/>
      <c r="M47" s="70"/>
      <c r="N47" s="70"/>
      <c r="O47" s="70"/>
      <c r="P47" s="70"/>
      <c r="Q47" s="77"/>
      <c r="R47" s="70"/>
      <c r="S47" s="70"/>
    </row>
    <row r="48" spans="4:23" x14ac:dyDescent="0.25"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  <row r="49" spans="4:27" x14ac:dyDescent="0.25">
      <c r="D49" s="74" t="s">
        <v>285</v>
      </c>
      <c r="E49" s="70"/>
      <c r="F49" s="70" t="s">
        <v>292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</row>
    <row r="50" spans="4:27" x14ac:dyDescent="0.25">
      <c r="D50" s="70"/>
      <c r="E50" s="70"/>
      <c r="F50" s="70" t="s">
        <v>296</v>
      </c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S50" s="70"/>
    </row>
    <row r="51" spans="4:27" x14ac:dyDescent="0.25"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</row>
    <row r="52" spans="4:27" x14ac:dyDescent="0.25"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</row>
    <row r="53" spans="4:27" x14ac:dyDescent="0.25"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</row>
    <row r="54" spans="4:27" ht="39.75" customHeight="1" x14ac:dyDescent="0.25">
      <c r="D54" s="66"/>
      <c r="E54" s="305" t="s">
        <v>301</v>
      </c>
      <c r="F54" s="306"/>
      <c r="G54" s="306"/>
      <c r="H54" s="306"/>
      <c r="I54" s="136" t="s">
        <v>40</v>
      </c>
      <c r="J54" s="137" t="s">
        <v>300</v>
      </c>
      <c r="K54" s="136" t="s">
        <v>30</v>
      </c>
      <c r="L54" s="137" t="s">
        <v>43</v>
      </c>
      <c r="M54" s="138"/>
      <c r="N54" s="139" t="s">
        <v>158</v>
      </c>
      <c r="O54" s="139"/>
      <c r="P54" s="139"/>
      <c r="Q54" s="139"/>
      <c r="R54" s="139"/>
      <c r="S54" s="139"/>
      <c r="T54" s="139"/>
      <c r="U54" s="67"/>
      <c r="V54" s="67"/>
      <c r="W54" s="67"/>
      <c r="X54" s="67"/>
      <c r="Y54" s="16"/>
      <c r="Z54" s="30"/>
      <c r="AA54" s="16"/>
    </row>
    <row r="55" spans="4:27" x14ac:dyDescent="0.25">
      <c r="D55" s="16"/>
      <c r="E55" s="132" t="s">
        <v>18</v>
      </c>
      <c r="F55" s="132"/>
      <c r="G55" s="123"/>
      <c r="H55" s="123"/>
      <c r="I55" s="124"/>
      <c r="J55" s="124"/>
      <c r="K55" s="125"/>
      <c r="L55" s="124"/>
      <c r="M55" s="124"/>
      <c r="N55" s="126">
        <v>1</v>
      </c>
      <c r="O55" s="126">
        <v>2</v>
      </c>
      <c r="P55" s="126">
        <v>3</v>
      </c>
      <c r="Q55" s="126">
        <v>4</v>
      </c>
      <c r="R55" s="126">
        <v>5</v>
      </c>
      <c r="S55" s="126" t="s">
        <v>297</v>
      </c>
      <c r="T55" s="126">
        <v>12</v>
      </c>
      <c r="U55" s="22"/>
      <c r="V55" s="22"/>
      <c r="W55" s="16"/>
    </row>
    <row r="56" spans="4:27" x14ac:dyDescent="0.25">
      <c r="D56" s="16"/>
      <c r="E56" s="133" t="s">
        <v>59</v>
      </c>
      <c r="F56" s="133"/>
      <c r="G56" s="127"/>
      <c r="H56" s="127"/>
      <c r="I56" s="130" t="s">
        <v>12</v>
      </c>
      <c r="J56" s="140">
        <v>0</v>
      </c>
      <c r="K56" s="141">
        <v>0</v>
      </c>
      <c r="L56" s="142"/>
      <c r="M56" s="143">
        <f>IF($J56=0,1,SUM(N56:T56))</f>
        <v>1</v>
      </c>
      <c r="N56" s="144"/>
      <c r="O56" s="144"/>
      <c r="P56" s="144"/>
      <c r="Q56" s="144"/>
      <c r="R56" s="144"/>
      <c r="S56" s="144"/>
      <c r="T56" s="144"/>
      <c r="U56" s="22"/>
      <c r="V56" s="22"/>
      <c r="W56" s="16"/>
    </row>
    <row r="57" spans="4:27" x14ac:dyDescent="0.25">
      <c r="D57" s="16"/>
      <c r="E57" s="134" t="s">
        <v>298</v>
      </c>
      <c r="F57" s="134"/>
      <c r="G57" s="128"/>
      <c r="H57" s="128"/>
      <c r="I57" s="131" t="s">
        <v>13</v>
      </c>
      <c r="J57" s="145">
        <v>10000</v>
      </c>
      <c r="K57" s="146">
        <v>0.05</v>
      </c>
      <c r="L57" s="147"/>
      <c r="M57" s="143">
        <f>IF($J57=0,1,SUM(N57:T57))</f>
        <v>1</v>
      </c>
      <c r="N57" s="144">
        <v>0.5</v>
      </c>
      <c r="O57" s="144">
        <v>0.5</v>
      </c>
      <c r="P57" s="144"/>
      <c r="Q57" s="144"/>
      <c r="R57" s="144"/>
      <c r="S57" s="144"/>
      <c r="T57" s="144"/>
      <c r="U57" s="22"/>
      <c r="V57" s="22"/>
      <c r="W57" s="16"/>
    </row>
    <row r="58" spans="4:27" x14ac:dyDescent="0.25">
      <c r="D58" s="16"/>
      <c r="E58" s="134" t="s">
        <v>61</v>
      </c>
      <c r="F58" s="134"/>
      <c r="G58" s="128"/>
      <c r="H58" s="128"/>
      <c r="I58" s="129" t="s">
        <v>13</v>
      </c>
      <c r="J58" s="145">
        <v>10000</v>
      </c>
      <c r="K58" s="146">
        <v>0.05</v>
      </c>
      <c r="L58" s="147"/>
      <c r="M58" s="143">
        <f>IF($J58=0,1,SUM(N58:T58))</f>
        <v>1</v>
      </c>
      <c r="N58" s="144"/>
      <c r="O58" s="144">
        <v>0.25</v>
      </c>
      <c r="P58" s="144">
        <v>0.25</v>
      </c>
      <c r="Q58" s="144">
        <v>0.25</v>
      </c>
      <c r="R58" s="144">
        <v>0.25</v>
      </c>
      <c r="S58" s="144"/>
      <c r="T58" s="144"/>
      <c r="U58" s="22"/>
      <c r="V58" s="22"/>
      <c r="W58" s="16"/>
    </row>
    <row r="59" spans="4:27" x14ac:dyDescent="0.25">
      <c r="D59" s="16"/>
      <c r="E59" s="134" t="s">
        <v>50</v>
      </c>
      <c r="F59" s="134"/>
      <c r="G59" s="128"/>
      <c r="H59" s="128"/>
      <c r="I59" s="129" t="s">
        <v>13</v>
      </c>
      <c r="J59" s="145">
        <v>10000</v>
      </c>
      <c r="K59" s="146">
        <v>0.05</v>
      </c>
      <c r="L59" s="147"/>
      <c r="M59" s="143">
        <f>IF($J59=0,1,SUM(N59:T59))</f>
        <v>1</v>
      </c>
      <c r="N59" s="144"/>
      <c r="O59" s="144">
        <f>1/3</f>
        <v>0.33333333333333331</v>
      </c>
      <c r="P59" s="144">
        <f t="shared" ref="P59:Q59" si="7">1/3</f>
        <v>0.33333333333333331</v>
      </c>
      <c r="Q59" s="144">
        <f t="shared" si="7"/>
        <v>0.33333333333333331</v>
      </c>
      <c r="R59" s="144"/>
      <c r="S59" s="144"/>
      <c r="T59" s="144"/>
      <c r="U59" s="22"/>
      <c r="V59" s="22"/>
      <c r="W59" s="16"/>
    </row>
    <row r="60" spans="4:27" x14ac:dyDescent="0.25">
      <c r="D60" s="16"/>
      <c r="E60" s="134" t="s">
        <v>79</v>
      </c>
      <c r="F60" s="134"/>
      <c r="G60" s="128"/>
      <c r="H60" s="128"/>
      <c r="I60" s="129" t="s">
        <v>13</v>
      </c>
      <c r="J60" s="145">
        <v>10000</v>
      </c>
      <c r="K60" s="146">
        <v>0.05</v>
      </c>
      <c r="L60" s="147"/>
      <c r="M60" s="143">
        <f>IF($J60=0,1,SUM(N60:T60))</f>
        <v>1</v>
      </c>
      <c r="N60" s="144"/>
      <c r="O60" s="144"/>
      <c r="P60" s="144"/>
      <c r="Q60" s="144">
        <v>1</v>
      </c>
      <c r="R60" s="144"/>
      <c r="S60" s="144"/>
      <c r="T60" s="144"/>
      <c r="U60" s="22"/>
      <c r="V60" s="22"/>
      <c r="W60" s="16"/>
    </row>
    <row r="61" spans="4:27" x14ac:dyDescent="0.25">
      <c r="D61" s="70"/>
      <c r="E61" s="134" t="s">
        <v>299</v>
      </c>
      <c r="F61" s="135"/>
      <c r="G61" s="149" t="s">
        <v>170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</row>
    <row r="62" spans="4:27" x14ac:dyDescent="0.25"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</row>
    <row r="63" spans="4:27" x14ac:dyDescent="0.25">
      <c r="D63" s="70"/>
      <c r="E63" s="70"/>
      <c r="F63" s="70"/>
      <c r="G63" s="70"/>
      <c r="H63" s="70"/>
      <c r="I63" s="70"/>
      <c r="J63" s="70"/>
      <c r="K63" s="70"/>
      <c r="L63" s="70"/>
      <c r="M63" s="70"/>
      <c r="Q63" s="70"/>
      <c r="R63" s="100"/>
      <c r="S63" s="70"/>
    </row>
    <row r="64" spans="4:27" x14ac:dyDescent="0.25">
      <c r="D64" s="70"/>
      <c r="E64" s="102" t="s">
        <v>307</v>
      </c>
      <c r="F64" s="70"/>
      <c r="G64" s="70"/>
      <c r="H64" s="100" t="s">
        <v>160</v>
      </c>
      <c r="I64" s="150">
        <f ca="1">DATE(YEAR(TODAY()),MONTH(TODAY()),1)</f>
        <v>45474</v>
      </c>
      <c r="J64" s="107" t="str">
        <f ca="1">IF(I64&gt;TODAY(),"на будущие даты мы не используем курс ЦБ РФ, а вводим вручную - см. ШАГ № 3","")</f>
        <v/>
      </c>
      <c r="K64" s="70"/>
      <c r="L64" s="70"/>
      <c r="M64" s="70"/>
      <c r="Q64" s="70"/>
      <c r="R64" s="100"/>
      <c r="S64" s="70"/>
    </row>
    <row r="65" spans="4:20" x14ac:dyDescent="0.25">
      <c r="D65" s="70"/>
      <c r="E65" s="70"/>
      <c r="F65" s="70"/>
      <c r="G65" s="70"/>
      <c r="H65" s="70"/>
      <c r="I65" s="70"/>
      <c r="J65" s="70"/>
      <c r="K65" s="70"/>
      <c r="L65" s="70"/>
      <c r="M65" s="70"/>
      <c r="Q65" s="70"/>
      <c r="R65" s="100"/>
      <c r="S65" s="70"/>
    </row>
    <row r="66" spans="4:20" x14ac:dyDescent="0.25"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</row>
    <row r="67" spans="4:20" x14ac:dyDescent="0.25"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2"/>
      <c r="T67" s="72"/>
    </row>
    <row r="68" spans="4:20" ht="18.75" x14ac:dyDescent="0.3">
      <c r="D68" s="70"/>
      <c r="E68" s="70" t="s">
        <v>327</v>
      </c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</row>
    <row r="69" spans="4:20" x14ac:dyDescent="0.25">
      <c r="D69" s="70"/>
      <c r="E69" s="70" t="s">
        <v>190</v>
      </c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</row>
    <row r="70" spans="4:20" x14ac:dyDescent="0.25">
      <c r="D70" s="70"/>
      <c r="E70" s="70"/>
      <c r="F70" s="70"/>
      <c r="G70" s="70"/>
      <c r="H70" s="70"/>
      <c r="I70" s="70"/>
      <c r="J70" s="70"/>
      <c r="K70" s="70"/>
    </row>
    <row r="71" spans="4:20" ht="18.75" x14ac:dyDescent="0.3">
      <c r="D71" s="70"/>
      <c r="E71" s="70" t="s">
        <v>179</v>
      </c>
      <c r="F71" s="70"/>
      <c r="G71" s="70"/>
      <c r="H71" s="70"/>
      <c r="I71" s="70"/>
      <c r="J71" s="70"/>
      <c r="K71" s="70"/>
    </row>
    <row r="72" spans="4:20" x14ac:dyDescent="0.25">
      <c r="D72" s="70"/>
      <c r="E72" s="70"/>
      <c r="F72" s="70"/>
      <c r="G72" s="70"/>
      <c r="H72" s="70"/>
      <c r="I72" s="70"/>
      <c r="J72" s="70"/>
      <c r="K72" s="70"/>
    </row>
    <row r="73" spans="4:20" x14ac:dyDescent="0.25">
      <c r="D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</row>
    <row r="74" spans="4:20" x14ac:dyDescent="0.25">
      <c r="D74" s="70"/>
      <c r="E74" s="70"/>
      <c r="G74" s="70"/>
      <c r="H74" s="70"/>
      <c r="I74" s="70"/>
      <c r="J74" s="70"/>
      <c r="K74" s="70"/>
      <c r="L74" s="70"/>
      <c r="M74" s="91" t="s">
        <v>186</v>
      </c>
      <c r="N74" s="70"/>
      <c r="O74" s="70"/>
      <c r="P74" s="70"/>
      <c r="Q74" s="70"/>
      <c r="R74" s="70"/>
      <c r="S74" s="70"/>
    </row>
    <row r="75" spans="4:20" x14ac:dyDescent="0.25">
      <c r="L75" s="70"/>
      <c r="M75" s="91" t="s">
        <v>187</v>
      </c>
      <c r="N75" s="70"/>
      <c r="O75" s="70"/>
      <c r="P75" s="70"/>
      <c r="Q75" s="70"/>
      <c r="R75" s="70"/>
      <c r="S75" s="70"/>
    </row>
    <row r="76" spans="4:20" x14ac:dyDescent="0.25">
      <c r="L76" s="70"/>
      <c r="M76" s="91" t="s">
        <v>188</v>
      </c>
      <c r="N76" s="70"/>
      <c r="O76" s="70"/>
      <c r="P76" s="70"/>
      <c r="Q76" s="70"/>
      <c r="R76" s="70"/>
      <c r="S76" s="70"/>
    </row>
    <row r="77" spans="4:20" x14ac:dyDescent="0.25">
      <c r="L77" s="70"/>
      <c r="M77" s="70"/>
      <c r="N77" s="70"/>
      <c r="O77" s="70"/>
      <c r="P77" s="70"/>
      <c r="Q77" s="70"/>
      <c r="R77" s="70"/>
      <c r="S77" s="70"/>
    </row>
    <row r="78" spans="4:20" x14ac:dyDescent="0.25">
      <c r="N78" s="70"/>
      <c r="O78" s="70"/>
      <c r="P78" s="70"/>
      <c r="Q78" s="70"/>
      <c r="R78" s="70"/>
      <c r="S78" s="70"/>
    </row>
    <row r="82" spans="5:13" x14ac:dyDescent="0.25">
      <c r="M82" s="91" t="s">
        <v>328</v>
      </c>
    </row>
    <row r="83" spans="5:13" x14ac:dyDescent="0.25">
      <c r="M83" s="91" t="s">
        <v>303</v>
      </c>
    </row>
    <row r="84" spans="5:13" x14ac:dyDescent="0.25">
      <c r="M84" s="91" t="s">
        <v>189</v>
      </c>
    </row>
    <row r="90" spans="5:13" x14ac:dyDescent="0.25">
      <c r="E90" s="148" t="s">
        <v>172</v>
      </c>
      <c r="F90" s="92" t="s">
        <v>331</v>
      </c>
    </row>
    <row r="91" spans="5:13" x14ac:dyDescent="0.25">
      <c r="F91" s="92" t="s">
        <v>293</v>
      </c>
    </row>
    <row r="92" spans="5:13" x14ac:dyDescent="0.25">
      <c r="F92" s="92" t="s">
        <v>329</v>
      </c>
      <c r="H92" s="114" t="s">
        <v>294</v>
      </c>
    </row>
    <row r="93" spans="5:13" x14ac:dyDescent="0.25">
      <c r="F93" s="92" t="s">
        <v>330</v>
      </c>
      <c r="H93" s="115" t="s">
        <v>302</v>
      </c>
    </row>
    <row r="94" spans="5:13" x14ac:dyDescent="0.25">
      <c r="F94" s="92"/>
      <c r="H94" s="113"/>
    </row>
    <row r="97" spans="5:5" ht="21" x14ac:dyDescent="0.35">
      <c r="E97" s="98" t="s">
        <v>304</v>
      </c>
    </row>
  </sheetData>
  <mergeCells count="6">
    <mergeCell ref="E54:H54"/>
    <mergeCell ref="M17:S19"/>
    <mergeCell ref="M24:N24"/>
    <mergeCell ref="M25:N25"/>
    <mergeCell ref="M26:N26"/>
    <mergeCell ref="M27:N27"/>
  </mergeCells>
  <conditionalFormatting sqref="I56:I60">
    <cfRule type="expression" dxfId="109" priority="6">
      <formula>I56&lt;&gt;"RUB"</formula>
    </cfRule>
  </conditionalFormatting>
  <conditionalFormatting sqref="N56:T60">
    <cfRule type="cellIs" dxfId="108" priority="5" stopIfTrue="1" operator="greaterThan">
      <formula>0</formula>
    </cfRule>
  </conditionalFormatting>
  <conditionalFormatting sqref="M56:M60">
    <cfRule type="cellIs" dxfId="107" priority="3" operator="lessThan">
      <formula>1</formula>
    </cfRule>
    <cfRule type="cellIs" dxfId="106" priority="4" operator="greaterThan">
      <formula>1</formula>
    </cfRule>
  </conditionalFormatting>
  <conditionalFormatting sqref="S27">
    <cfRule type="cellIs" dxfId="104" priority="1" stopIfTrue="1" operator="greaterThan">
      <formula>0</formula>
    </cfRule>
  </conditionalFormatting>
  <hyperlinks>
    <hyperlink ref="G61" location="'Бюджет на запуск'!B6" display="см" xr:uid="{D7D979B7-583A-4ADB-80FB-7A8390E8DAE4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0F3C857-2F34-432E-83BE-2000289B8DC5}">
          <x14:formula1>
            <xm:f>'Курсы валют'!$D$2:$D$44</xm:f>
          </x14:formula1>
          <xm:sqref>M25:M27</xm:sqref>
        </x14:dataValidation>
        <x14:dataValidation type="list" allowBlank="1" showInputMessage="1" showErrorMessage="1" xr:uid="{5CC47A5A-2CFC-4BC1-A675-2BE8F3ED41AA}">
          <x14:formula1>
            <xm:f>'Бюджет на запуск'!$H$3:$K$3</xm:f>
          </x14:formula1>
          <xm:sqref>I56:I60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1D12-2E73-4F9F-8541-E6AA34EC0358}">
  <sheetPr codeName="Лист3">
    <tabColor rgb="FF82F767"/>
  </sheetPr>
  <dimension ref="A1:V200"/>
  <sheetViews>
    <sheetView showGridLines="0" zoomScale="90" zoomScaleNormal="90" workbookViewId="0">
      <pane ySplit="1" topLeftCell="A2" activePane="bottomLeft" state="frozen"/>
      <selection pane="bottomLeft" activeCell="B100" sqref="B100"/>
    </sheetView>
  </sheetViews>
  <sheetFormatPr defaultRowHeight="15" x14ac:dyDescent="0.25"/>
  <cols>
    <col min="1" max="1" width="2.7109375" customWidth="1"/>
    <col min="2" max="2" width="62.5703125" customWidth="1"/>
    <col min="3" max="3" width="15.85546875" customWidth="1"/>
    <col min="4" max="4" width="21.28515625" customWidth="1"/>
    <col min="5" max="5" width="13.7109375" customWidth="1"/>
    <col min="6" max="6" width="44.5703125" customWidth="1"/>
    <col min="7" max="7" width="6.85546875" bestFit="1" customWidth="1"/>
    <col min="8" max="19" width="8.7109375" customWidth="1"/>
    <col min="20" max="20" width="3.7109375" customWidth="1"/>
    <col min="21" max="21" width="4.5703125" customWidth="1"/>
    <col min="22" max="31" width="9.140625" customWidth="1"/>
  </cols>
  <sheetData>
    <row r="1" spans="1:22" ht="15.75" x14ac:dyDescent="0.25">
      <c r="A1" s="38"/>
      <c r="B1" s="38" t="s">
        <v>306</v>
      </c>
      <c r="C1" s="38"/>
      <c r="D1" s="36"/>
      <c r="E1" s="36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2" ht="15.75" x14ac:dyDescent="0.25">
      <c r="B2" s="27"/>
    </row>
    <row r="3" spans="1:22" ht="15" customHeight="1" x14ac:dyDescent="0.25">
      <c r="A3" s="16"/>
      <c r="B3" s="25" t="s">
        <v>160</v>
      </c>
      <c r="C3" s="105">
        <f ca="1">'Приветствие !'!$I$64</f>
        <v>45474</v>
      </c>
      <c r="D3" s="25" t="s">
        <v>159</v>
      </c>
      <c r="E3" s="104" t="str">
        <f>'Приветствие !'!$H$24</f>
        <v>ОАЭ</v>
      </c>
      <c r="F3" s="25"/>
      <c r="G3" s="48" t="s">
        <v>161</v>
      </c>
      <c r="H3" s="104" t="s">
        <v>12</v>
      </c>
      <c r="I3" s="104" t="str">
        <f>INDEX(Table_1[Букв. код],MATCH('Приветствие !'!$M$25,Table_1[Валюта],0))</f>
        <v>AED</v>
      </c>
      <c r="J3" s="104" t="str">
        <f>INDEX(Table_1[Букв. код],MATCH('Приветствие !'!$M$26,Table_1[Валюта],0))</f>
        <v>USD</v>
      </c>
      <c r="K3" s="104" t="str">
        <f>INDEX(Table_1[Букв. код],MATCH('Приветствие !'!$M$27,Table_1[Валюта],0))</f>
        <v>CNY</v>
      </c>
      <c r="L3" s="16"/>
      <c r="O3" s="16"/>
      <c r="Q3" s="16"/>
      <c r="R3" s="16"/>
      <c r="S3" s="16"/>
      <c r="T3" s="16"/>
      <c r="U3" s="16"/>
      <c r="V3" s="16"/>
    </row>
    <row r="4" spans="1:22" ht="15" customHeight="1" x14ac:dyDescent="0.25">
      <c r="A4" s="66"/>
      <c r="B4" s="15"/>
      <c r="C4" s="21"/>
      <c r="G4" s="16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16"/>
      <c r="U4" s="24"/>
      <c r="V4" s="16"/>
    </row>
    <row r="5" spans="1:22" ht="15" customHeight="1" x14ac:dyDescent="0.25">
      <c r="A5" s="66"/>
      <c r="C5" s="21"/>
      <c r="G5" s="16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16"/>
      <c r="U5" s="24"/>
      <c r="V5" s="16"/>
    </row>
    <row r="6" spans="1:22" ht="52.5" customHeight="1" x14ac:dyDescent="0.25">
      <c r="A6" s="66"/>
      <c r="B6" s="26" t="s">
        <v>35</v>
      </c>
      <c r="C6" s="20" t="s">
        <v>40</v>
      </c>
      <c r="D6" s="37" t="s">
        <v>144</v>
      </c>
      <c r="E6" s="20" t="s">
        <v>30</v>
      </c>
      <c r="F6" s="37" t="s">
        <v>43</v>
      </c>
      <c r="G6" s="16"/>
      <c r="H6" s="67" t="s">
        <v>158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16"/>
      <c r="U6" s="30"/>
      <c r="V6" s="16"/>
    </row>
    <row r="7" spans="1:22" x14ac:dyDescent="0.25">
      <c r="A7" s="16"/>
      <c r="B7" s="45" t="s">
        <v>18</v>
      </c>
      <c r="C7" s="22"/>
      <c r="D7" s="22"/>
      <c r="E7" s="40"/>
      <c r="F7" s="22"/>
      <c r="G7" s="22"/>
      <c r="H7" s="41">
        <v>1</v>
      </c>
      <c r="I7" s="41">
        <v>2</v>
      </c>
      <c r="J7" s="41">
        <v>3</v>
      </c>
      <c r="K7" s="41">
        <v>4</v>
      </c>
      <c r="L7" s="41">
        <v>5</v>
      </c>
      <c r="M7" s="41">
        <v>6</v>
      </c>
      <c r="N7" s="41">
        <v>7</v>
      </c>
      <c r="O7" s="41">
        <v>8</v>
      </c>
      <c r="P7" s="41">
        <v>9</v>
      </c>
      <c r="Q7" s="41">
        <v>10</v>
      </c>
      <c r="R7" s="41">
        <v>11</v>
      </c>
      <c r="S7" s="41">
        <v>12</v>
      </c>
      <c r="T7" s="22"/>
      <c r="U7" s="22"/>
      <c r="V7" s="16"/>
    </row>
    <row r="8" spans="1:22" x14ac:dyDescent="0.25">
      <c r="A8" s="16"/>
      <c r="B8" s="54" t="s">
        <v>59</v>
      </c>
      <c r="C8" s="55" t="s">
        <v>12</v>
      </c>
      <c r="D8" s="56"/>
      <c r="E8" s="57"/>
      <c r="F8" s="58"/>
      <c r="G8" s="10">
        <f t="shared" ref="G8:G39" si="0">IF($D8=0,1,SUM(H8:S8))</f>
        <v>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22"/>
      <c r="U8" s="22"/>
      <c r="V8" s="16"/>
    </row>
    <row r="9" spans="1:22" x14ac:dyDescent="0.25">
      <c r="A9" s="16"/>
      <c r="B9" s="19" t="s">
        <v>56</v>
      </c>
      <c r="C9" s="53" t="s">
        <v>13</v>
      </c>
      <c r="D9" s="52">
        <v>10000</v>
      </c>
      <c r="E9" s="14">
        <v>0.05</v>
      </c>
      <c r="F9" s="18"/>
      <c r="G9" s="10">
        <f t="shared" si="0"/>
        <v>1</v>
      </c>
      <c r="H9" s="11">
        <v>0.25</v>
      </c>
      <c r="I9" s="11">
        <v>0.25</v>
      </c>
      <c r="J9" s="11">
        <v>0.25</v>
      </c>
      <c r="K9" s="11">
        <v>0.25</v>
      </c>
      <c r="L9" s="11"/>
      <c r="M9" s="11"/>
      <c r="N9" s="11"/>
      <c r="O9" s="11"/>
      <c r="P9" s="11"/>
      <c r="Q9" s="11"/>
      <c r="R9" s="11"/>
      <c r="S9" s="11"/>
      <c r="T9" s="22"/>
      <c r="U9" s="22"/>
      <c r="V9" s="16"/>
    </row>
    <row r="10" spans="1:22" x14ac:dyDescent="0.25">
      <c r="A10" s="16"/>
      <c r="B10" s="19" t="s">
        <v>61</v>
      </c>
      <c r="C10" s="53" t="s">
        <v>13</v>
      </c>
      <c r="D10" s="52">
        <v>10000</v>
      </c>
      <c r="E10" s="14">
        <v>0.05</v>
      </c>
      <c r="F10" s="18"/>
      <c r="G10" s="10">
        <f t="shared" si="0"/>
        <v>1</v>
      </c>
      <c r="H10" s="11"/>
      <c r="I10" s="11">
        <v>0.25</v>
      </c>
      <c r="J10" s="11">
        <v>0.25</v>
      </c>
      <c r="K10" s="11">
        <v>0.25</v>
      </c>
      <c r="L10" s="11">
        <v>0.25</v>
      </c>
      <c r="M10" s="11"/>
      <c r="N10" s="11"/>
      <c r="O10" s="11"/>
      <c r="P10" s="11"/>
      <c r="Q10" s="11"/>
      <c r="R10" s="11"/>
      <c r="S10" s="11"/>
      <c r="T10" s="22"/>
      <c r="U10" s="22"/>
      <c r="V10" s="16"/>
    </row>
    <row r="11" spans="1:22" x14ac:dyDescent="0.25">
      <c r="A11" s="16"/>
      <c r="B11" s="19" t="s">
        <v>50</v>
      </c>
      <c r="C11" s="53" t="s">
        <v>13</v>
      </c>
      <c r="D11" s="52">
        <v>10000</v>
      </c>
      <c r="E11" s="14">
        <v>0.05</v>
      </c>
      <c r="F11" s="18"/>
      <c r="G11" s="10">
        <f t="shared" si="0"/>
        <v>1</v>
      </c>
      <c r="H11" s="11"/>
      <c r="I11" s="11">
        <v>0.25</v>
      </c>
      <c r="J11" s="11">
        <v>0.25</v>
      </c>
      <c r="K11" s="11">
        <v>0.25</v>
      </c>
      <c r="L11" s="11">
        <v>0.25</v>
      </c>
      <c r="M11" s="11"/>
      <c r="N11" s="11"/>
      <c r="O11" s="11"/>
      <c r="P11" s="11"/>
      <c r="Q11" s="11"/>
      <c r="R11" s="11"/>
      <c r="S11" s="11"/>
      <c r="T11" s="22"/>
      <c r="U11" s="22"/>
      <c r="V11" s="16"/>
    </row>
    <row r="12" spans="1:22" x14ac:dyDescent="0.25">
      <c r="A12" s="16"/>
      <c r="B12" s="19" t="s">
        <v>79</v>
      </c>
      <c r="C12" s="53" t="s">
        <v>13</v>
      </c>
      <c r="D12" s="52">
        <v>10000</v>
      </c>
      <c r="E12" s="14">
        <v>0.05</v>
      </c>
      <c r="F12" s="18"/>
      <c r="G12" s="10">
        <f t="shared" si="0"/>
        <v>1</v>
      </c>
      <c r="H12" s="11"/>
      <c r="I12" s="11"/>
      <c r="J12" s="11">
        <f>1/3</f>
        <v>0.33333333333333331</v>
      </c>
      <c r="K12" s="11">
        <f t="shared" ref="K12:M13" si="1">1/3</f>
        <v>0.33333333333333331</v>
      </c>
      <c r="L12" s="11">
        <f t="shared" si="1"/>
        <v>0.33333333333333331</v>
      </c>
      <c r="M12" s="11"/>
      <c r="N12" s="11"/>
      <c r="O12" s="11"/>
      <c r="P12" s="11"/>
      <c r="Q12" s="11"/>
      <c r="R12" s="11"/>
      <c r="S12" s="11"/>
      <c r="T12" s="22"/>
      <c r="U12" s="22"/>
      <c r="V12" s="16"/>
    </row>
    <row r="13" spans="1:22" x14ac:dyDescent="0.25">
      <c r="A13" s="16"/>
      <c r="B13" s="19" t="s">
        <v>80</v>
      </c>
      <c r="C13" s="53" t="s">
        <v>13</v>
      </c>
      <c r="D13" s="52">
        <v>10000</v>
      </c>
      <c r="E13" s="14">
        <v>0.05</v>
      </c>
      <c r="F13" s="18"/>
      <c r="G13" s="10">
        <f t="shared" si="0"/>
        <v>1</v>
      </c>
      <c r="H13" s="11"/>
      <c r="I13" s="11"/>
      <c r="J13" s="11"/>
      <c r="K13" s="11">
        <f>1/3</f>
        <v>0.33333333333333331</v>
      </c>
      <c r="L13" s="11">
        <f t="shared" si="1"/>
        <v>0.33333333333333331</v>
      </c>
      <c r="M13" s="11">
        <f t="shared" si="1"/>
        <v>0.33333333333333331</v>
      </c>
      <c r="N13" s="11"/>
      <c r="O13" s="11"/>
      <c r="P13" s="11"/>
      <c r="Q13" s="11"/>
      <c r="R13" s="11"/>
      <c r="S13" s="11"/>
      <c r="T13" s="22"/>
      <c r="U13" s="22"/>
      <c r="V13" s="16"/>
    </row>
    <row r="14" spans="1:22" x14ac:dyDescent="0.25">
      <c r="A14" s="16"/>
      <c r="B14" s="19" t="s">
        <v>45</v>
      </c>
      <c r="C14" s="53" t="s">
        <v>12</v>
      </c>
      <c r="D14" s="52"/>
      <c r="E14" s="14"/>
      <c r="F14" s="18"/>
      <c r="G14" s="10">
        <f t="shared" si="0"/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6"/>
      <c r="U14" s="22"/>
      <c r="V14" s="16"/>
    </row>
    <row r="15" spans="1:22" x14ac:dyDescent="0.25">
      <c r="A15" s="16"/>
      <c r="B15" s="19" t="s">
        <v>46</v>
      </c>
      <c r="C15" s="53" t="s">
        <v>12</v>
      </c>
      <c r="D15" s="52"/>
      <c r="E15" s="14"/>
      <c r="F15" s="18"/>
      <c r="G15" s="10">
        <f t="shared" si="0"/>
        <v>1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6"/>
      <c r="U15" s="22"/>
      <c r="V15" s="16"/>
    </row>
    <row r="16" spans="1:22" x14ac:dyDescent="0.25">
      <c r="B16" s="19" t="s">
        <v>47</v>
      </c>
      <c r="C16" s="53" t="s">
        <v>12</v>
      </c>
      <c r="D16" s="52"/>
      <c r="E16" s="14"/>
      <c r="F16" s="18"/>
      <c r="G16" s="10">
        <f t="shared" si="0"/>
        <v>1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U16" s="22"/>
    </row>
    <row r="17" spans="1:22" x14ac:dyDescent="0.25">
      <c r="A17" s="16"/>
      <c r="B17" s="19" t="s">
        <v>62</v>
      </c>
      <c r="C17" s="53" t="s">
        <v>12</v>
      </c>
      <c r="D17" s="52"/>
      <c r="E17" s="14"/>
      <c r="F17" s="18"/>
      <c r="G17" s="10">
        <f t="shared" si="0"/>
        <v>1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22"/>
      <c r="U17" s="22"/>
      <c r="V17" s="16"/>
    </row>
    <row r="18" spans="1:22" x14ac:dyDescent="0.25">
      <c r="A18" s="16"/>
      <c r="B18" s="19" t="s">
        <v>57</v>
      </c>
      <c r="C18" s="53" t="s">
        <v>12</v>
      </c>
      <c r="D18" s="52"/>
      <c r="E18" s="14"/>
      <c r="F18" s="18"/>
      <c r="G18" s="10">
        <f t="shared" si="0"/>
        <v>1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22"/>
      <c r="U18" s="22"/>
      <c r="V18" s="16"/>
    </row>
    <row r="19" spans="1:22" x14ac:dyDescent="0.25">
      <c r="A19" s="16"/>
      <c r="B19" s="19" t="s">
        <v>155</v>
      </c>
      <c r="C19" s="53" t="s">
        <v>12</v>
      </c>
      <c r="D19" s="52"/>
      <c r="E19" s="14"/>
      <c r="F19" s="18"/>
      <c r="G19" s="10">
        <f t="shared" si="0"/>
        <v>1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22"/>
      <c r="V19" s="16"/>
    </row>
    <row r="20" spans="1:22" x14ac:dyDescent="0.25">
      <c r="A20" s="16"/>
      <c r="B20" s="49" t="s">
        <v>157</v>
      </c>
      <c r="C20" s="53" t="s">
        <v>12</v>
      </c>
      <c r="D20" s="52"/>
      <c r="E20" s="14"/>
      <c r="F20" s="18"/>
      <c r="G20" s="10">
        <f t="shared" si="0"/>
        <v>1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22"/>
      <c r="V20" s="16"/>
    </row>
    <row r="21" spans="1:22" x14ac:dyDescent="0.25">
      <c r="A21" s="16"/>
      <c r="B21" s="19" t="s">
        <v>151</v>
      </c>
      <c r="C21" s="53" t="s">
        <v>12</v>
      </c>
      <c r="D21" s="52"/>
      <c r="E21" s="14"/>
      <c r="F21" s="18"/>
      <c r="G21" s="10">
        <f t="shared" si="0"/>
        <v>1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22"/>
      <c r="U21" s="22"/>
      <c r="V21" s="16"/>
    </row>
    <row r="22" spans="1:22" x14ac:dyDescent="0.25">
      <c r="A22" s="16"/>
      <c r="B22" s="19"/>
      <c r="C22" s="22"/>
      <c r="D22" s="22"/>
      <c r="E22" s="39"/>
      <c r="F22" s="22"/>
      <c r="G22" s="10">
        <f t="shared" si="0"/>
        <v>1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V22" s="16"/>
    </row>
    <row r="23" spans="1:22" x14ac:dyDescent="0.25">
      <c r="A23" s="16"/>
      <c r="B23" s="45" t="s">
        <v>31</v>
      </c>
      <c r="C23" s="22"/>
      <c r="D23" s="22"/>
      <c r="E23" s="40"/>
      <c r="F23" s="22"/>
      <c r="G23" s="10">
        <f t="shared" si="0"/>
        <v>1</v>
      </c>
      <c r="H23" s="41">
        <v>1</v>
      </c>
      <c r="I23" s="41">
        <v>2</v>
      </c>
      <c r="J23" s="41">
        <v>3</v>
      </c>
      <c r="K23" s="41">
        <v>4</v>
      </c>
      <c r="L23" s="41">
        <v>5</v>
      </c>
      <c r="M23" s="41">
        <v>6</v>
      </c>
      <c r="N23" s="41">
        <v>7</v>
      </c>
      <c r="O23" s="41">
        <v>8</v>
      </c>
      <c r="P23" s="41">
        <v>9</v>
      </c>
      <c r="Q23" s="41">
        <v>10</v>
      </c>
      <c r="R23" s="41">
        <v>11</v>
      </c>
      <c r="S23" s="41">
        <v>12</v>
      </c>
      <c r="T23" s="22"/>
      <c r="V23" s="16"/>
    </row>
    <row r="24" spans="1:22" x14ac:dyDescent="0.25">
      <c r="A24" s="16"/>
      <c r="B24" s="54" t="s">
        <v>95</v>
      </c>
      <c r="C24" s="55" t="s">
        <v>12</v>
      </c>
      <c r="D24" s="56"/>
      <c r="E24" s="57"/>
      <c r="F24" s="58"/>
      <c r="G24" s="10">
        <f t="shared" si="0"/>
        <v>1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22"/>
      <c r="U24" s="22"/>
      <c r="V24" s="16"/>
    </row>
    <row r="25" spans="1:22" x14ac:dyDescent="0.25">
      <c r="A25" s="16"/>
      <c r="B25" s="19" t="s">
        <v>94</v>
      </c>
      <c r="C25" s="53" t="s">
        <v>12</v>
      </c>
      <c r="D25" s="17">
        <v>5000000</v>
      </c>
      <c r="E25" s="14">
        <v>0</v>
      </c>
      <c r="F25" s="18"/>
      <c r="G25" s="10">
        <f t="shared" si="0"/>
        <v>1</v>
      </c>
      <c r="H25" s="11">
        <v>0.25</v>
      </c>
      <c r="I25" s="11">
        <v>0.25</v>
      </c>
      <c r="J25" s="11">
        <v>0.25</v>
      </c>
      <c r="K25" s="11">
        <v>0.25</v>
      </c>
      <c r="L25" s="11"/>
      <c r="M25" s="11"/>
      <c r="N25" s="11"/>
      <c r="O25" s="11"/>
      <c r="P25" s="11"/>
      <c r="Q25" s="11"/>
      <c r="R25" s="11"/>
      <c r="S25" s="11"/>
      <c r="T25" s="22"/>
      <c r="V25" s="16"/>
    </row>
    <row r="26" spans="1:22" x14ac:dyDescent="0.25">
      <c r="A26" s="16"/>
      <c r="B26" s="19" t="s">
        <v>36</v>
      </c>
      <c r="C26" s="53" t="s">
        <v>12</v>
      </c>
      <c r="D26" s="17"/>
      <c r="E26" s="14"/>
      <c r="F26" s="18"/>
      <c r="G26" s="10">
        <f t="shared" si="0"/>
        <v>1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22"/>
      <c r="U26" s="22"/>
      <c r="V26" s="16"/>
    </row>
    <row r="27" spans="1:22" x14ac:dyDescent="0.25">
      <c r="A27" s="16"/>
      <c r="B27" s="19" t="s">
        <v>96</v>
      </c>
      <c r="C27" s="53" t="s">
        <v>12</v>
      </c>
      <c r="D27" s="17">
        <v>5000000</v>
      </c>
      <c r="E27" s="14">
        <v>0</v>
      </c>
      <c r="F27" s="18"/>
      <c r="G27" s="10">
        <f t="shared" si="0"/>
        <v>1</v>
      </c>
      <c r="H27" s="11"/>
      <c r="I27" s="11"/>
      <c r="J27" s="11">
        <f>1/3</f>
        <v>0.33333333333333331</v>
      </c>
      <c r="K27" s="11"/>
      <c r="L27" s="11">
        <f>1/3</f>
        <v>0.33333333333333331</v>
      </c>
      <c r="M27" s="11"/>
      <c r="N27" s="11">
        <f>1/3</f>
        <v>0.33333333333333331</v>
      </c>
      <c r="O27" s="11"/>
      <c r="P27" s="11"/>
      <c r="Q27" s="11"/>
      <c r="R27" s="11"/>
      <c r="S27" s="11"/>
      <c r="T27" s="22"/>
      <c r="U27" s="22"/>
      <c r="V27" s="16"/>
    </row>
    <row r="28" spans="1:22" x14ac:dyDescent="0.25">
      <c r="A28" s="16"/>
      <c r="B28" s="49" t="str">
        <f>$B$20</f>
        <v>на данный момент конкретное мероприятие не определено</v>
      </c>
      <c r="C28" s="53" t="s">
        <v>12</v>
      </c>
      <c r="D28" s="17"/>
      <c r="E28" s="14"/>
      <c r="F28" s="18"/>
      <c r="G28" s="10">
        <f t="shared" si="0"/>
        <v>1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22"/>
      <c r="U28" s="22"/>
      <c r="V28" s="16"/>
    </row>
    <row r="29" spans="1:22" x14ac:dyDescent="0.25">
      <c r="A29" s="16"/>
      <c r="B29" s="19" t="s">
        <v>151</v>
      </c>
      <c r="C29" s="53" t="s">
        <v>12</v>
      </c>
      <c r="D29" s="17"/>
      <c r="E29" s="14"/>
      <c r="F29" s="18"/>
      <c r="G29" s="10">
        <f t="shared" si="0"/>
        <v>1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22"/>
      <c r="U29" s="22"/>
      <c r="V29" s="16"/>
    </row>
    <row r="30" spans="1:22" x14ac:dyDescent="0.25">
      <c r="A30" s="16"/>
      <c r="B30" s="19"/>
      <c r="C30" s="22"/>
      <c r="D30" s="22"/>
      <c r="E30" s="22"/>
      <c r="F30" s="22"/>
      <c r="G30" s="10">
        <f t="shared" si="0"/>
        <v>1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16"/>
    </row>
    <row r="31" spans="1:22" x14ac:dyDescent="0.25">
      <c r="A31" s="16"/>
      <c r="B31" s="45" t="s">
        <v>42</v>
      </c>
      <c r="C31" s="22"/>
      <c r="D31" s="22"/>
      <c r="E31" s="40"/>
      <c r="F31" s="22"/>
      <c r="G31" s="10">
        <f t="shared" si="0"/>
        <v>1</v>
      </c>
      <c r="H31" s="41">
        <v>1</v>
      </c>
      <c r="I31" s="41">
        <v>2</v>
      </c>
      <c r="J31" s="41">
        <v>3</v>
      </c>
      <c r="K31" s="41">
        <v>4</v>
      </c>
      <c r="L31" s="41">
        <v>5</v>
      </c>
      <c r="M31" s="41">
        <v>6</v>
      </c>
      <c r="N31" s="41">
        <v>7</v>
      </c>
      <c r="O31" s="41">
        <v>8</v>
      </c>
      <c r="P31" s="41">
        <v>9</v>
      </c>
      <c r="Q31" s="41">
        <v>10</v>
      </c>
      <c r="R31" s="41">
        <v>11</v>
      </c>
      <c r="S31" s="41">
        <v>12</v>
      </c>
      <c r="T31" s="16"/>
      <c r="V31" s="16"/>
    </row>
    <row r="32" spans="1:22" x14ac:dyDescent="0.25">
      <c r="A32" s="16"/>
      <c r="B32" s="54" t="s">
        <v>37</v>
      </c>
      <c r="C32" s="55" t="s">
        <v>12</v>
      </c>
      <c r="D32" s="56"/>
      <c r="E32" s="57"/>
      <c r="F32" s="58"/>
      <c r="G32" s="10">
        <f t="shared" si="0"/>
        <v>1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6"/>
      <c r="V32" s="16"/>
    </row>
    <row r="33" spans="1:22" x14ac:dyDescent="0.25">
      <c r="A33" s="16"/>
      <c r="B33" s="19" t="s">
        <v>38</v>
      </c>
      <c r="C33" s="53" t="s">
        <v>12</v>
      </c>
      <c r="D33" s="17">
        <v>500000</v>
      </c>
      <c r="E33" s="14">
        <v>0</v>
      </c>
      <c r="F33" s="18"/>
      <c r="G33" s="10">
        <f t="shared" si="0"/>
        <v>1</v>
      </c>
      <c r="H33" s="11">
        <v>0.25</v>
      </c>
      <c r="I33" s="11">
        <v>0.25</v>
      </c>
      <c r="J33" s="11">
        <v>0.25</v>
      </c>
      <c r="K33" s="11">
        <v>0.25</v>
      </c>
      <c r="L33" s="11"/>
      <c r="M33" s="11"/>
      <c r="N33" s="11"/>
      <c r="O33" s="11"/>
      <c r="P33" s="11"/>
      <c r="Q33" s="11"/>
      <c r="R33" s="11"/>
      <c r="S33" s="11"/>
      <c r="T33" s="16"/>
      <c r="V33" s="16"/>
    </row>
    <row r="34" spans="1:22" x14ac:dyDescent="0.25">
      <c r="A34" s="16"/>
      <c r="B34" s="19" t="s">
        <v>63</v>
      </c>
      <c r="C34" s="53" t="s">
        <v>12</v>
      </c>
      <c r="D34" s="17"/>
      <c r="E34" s="14"/>
      <c r="F34" s="18"/>
      <c r="G34" s="10">
        <f t="shared" si="0"/>
        <v>1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6"/>
      <c r="U34" s="22"/>
      <c r="V34" s="16"/>
    </row>
    <row r="35" spans="1:22" x14ac:dyDescent="0.25">
      <c r="A35" s="16"/>
      <c r="B35" s="49" t="str">
        <f>$B$20</f>
        <v>на данный момент конкретное мероприятие не определено</v>
      </c>
      <c r="C35" s="53" t="s">
        <v>12</v>
      </c>
      <c r="D35" s="17"/>
      <c r="E35" s="14"/>
      <c r="F35" s="18"/>
      <c r="G35" s="10">
        <f t="shared" si="0"/>
        <v>1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6"/>
      <c r="U35" s="22"/>
      <c r="V35" s="16"/>
    </row>
    <row r="36" spans="1:22" x14ac:dyDescent="0.25">
      <c r="A36" s="16"/>
      <c r="B36" s="19" t="s">
        <v>151</v>
      </c>
      <c r="C36" s="53" t="s">
        <v>12</v>
      </c>
      <c r="D36" s="17"/>
      <c r="E36" s="14"/>
      <c r="F36" s="18"/>
      <c r="G36" s="10">
        <f t="shared" si="0"/>
        <v>1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6"/>
      <c r="V36" s="16"/>
    </row>
    <row r="37" spans="1:22" x14ac:dyDescent="0.25">
      <c r="A37" s="16"/>
      <c r="B37" s="19"/>
      <c r="C37" s="19"/>
      <c r="D37" s="19"/>
      <c r="E37" s="19"/>
      <c r="F37" s="19"/>
      <c r="G37" s="10">
        <f t="shared" si="0"/>
        <v>1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22"/>
      <c r="V37" s="16"/>
    </row>
    <row r="38" spans="1:22" x14ac:dyDescent="0.25">
      <c r="A38" s="16"/>
      <c r="B38" s="45" t="s">
        <v>64</v>
      </c>
      <c r="C38" s="22"/>
      <c r="D38" s="22"/>
      <c r="E38" s="40"/>
      <c r="F38" s="22"/>
      <c r="G38" s="10">
        <f t="shared" si="0"/>
        <v>1</v>
      </c>
      <c r="H38" s="41">
        <v>1</v>
      </c>
      <c r="I38" s="41">
        <v>2</v>
      </c>
      <c r="J38" s="41">
        <v>3</v>
      </c>
      <c r="K38" s="41">
        <v>4</v>
      </c>
      <c r="L38" s="41">
        <v>5</v>
      </c>
      <c r="M38" s="41">
        <v>6</v>
      </c>
      <c r="N38" s="41">
        <v>7</v>
      </c>
      <c r="O38" s="41">
        <v>8</v>
      </c>
      <c r="P38" s="41">
        <v>9</v>
      </c>
      <c r="Q38" s="41">
        <v>10</v>
      </c>
      <c r="R38" s="41">
        <v>11</v>
      </c>
      <c r="S38" s="41">
        <v>12</v>
      </c>
      <c r="T38" s="22"/>
      <c r="U38" s="22"/>
      <c r="V38" s="16"/>
    </row>
    <row r="39" spans="1:22" x14ac:dyDescent="0.25">
      <c r="A39" s="16"/>
      <c r="B39" s="54" t="s">
        <v>39</v>
      </c>
      <c r="C39" s="55" t="s">
        <v>12</v>
      </c>
      <c r="D39" s="56">
        <v>25000</v>
      </c>
      <c r="E39" s="57">
        <v>0.2</v>
      </c>
      <c r="F39" s="58"/>
      <c r="G39" s="10">
        <f t="shared" si="0"/>
        <v>1</v>
      </c>
      <c r="H39" s="11"/>
      <c r="I39" s="11"/>
      <c r="J39" s="11"/>
      <c r="K39" s="11"/>
      <c r="L39" s="11"/>
      <c r="M39" s="11">
        <v>1</v>
      </c>
      <c r="N39" s="11"/>
      <c r="O39" s="11"/>
      <c r="P39" s="11"/>
      <c r="Q39" s="11"/>
      <c r="R39" s="11"/>
      <c r="S39" s="11"/>
      <c r="T39" s="22"/>
      <c r="U39" s="22"/>
      <c r="V39" s="16"/>
    </row>
    <row r="40" spans="1:22" x14ac:dyDescent="0.25">
      <c r="A40" s="16"/>
      <c r="B40" s="19" t="s">
        <v>39</v>
      </c>
      <c r="C40" s="53" t="s">
        <v>12</v>
      </c>
      <c r="D40" s="17"/>
      <c r="E40" s="28"/>
      <c r="F40" s="29"/>
      <c r="G40" s="10">
        <f t="shared" ref="G40:G71" si="2">IF($D40=0,1,SUM(H40:S40))</f>
        <v>1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22"/>
      <c r="U40" s="22"/>
      <c r="V40" s="16"/>
    </row>
    <row r="41" spans="1:22" x14ac:dyDescent="0.25">
      <c r="A41" s="16"/>
      <c r="B41" s="19" t="s">
        <v>39</v>
      </c>
      <c r="C41" s="53" t="s">
        <v>12</v>
      </c>
      <c r="D41" s="17"/>
      <c r="E41" s="28"/>
      <c r="F41" s="29"/>
      <c r="G41" s="10">
        <f t="shared" si="2"/>
        <v>1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22"/>
      <c r="U41" s="22"/>
      <c r="V41" s="16"/>
    </row>
    <row r="42" spans="1:22" x14ac:dyDescent="0.25">
      <c r="A42" s="16"/>
      <c r="B42" s="49" t="str">
        <f>$B$20</f>
        <v>на данный момент конкретное мероприятие не определено</v>
      </c>
      <c r="C42" s="53" t="s">
        <v>12</v>
      </c>
      <c r="D42" s="17"/>
      <c r="E42" s="28"/>
      <c r="F42" s="29"/>
      <c r="G42" s="10">
        <f t="shared" si="2"/>
        <v>1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22"/>
      <c r="U42" s="22"/>
      <c r="V42" s="16"/>
    </row>
    <row r="43" spans="1:22" x14ac:dyDescent="0.25">
      <c r="A43" s="16"/>
      <c r="B43" s="19" t="s">
        <v>151</v>
      </c>
      <c r="C43" s="53" t="s">
        <v>12</v>
      </c>
      <c r="D43" s="17"/>
      <c r="E43" s="14"/>
      <c r="F43" s="18"/>
      <c r="G43" s="10">
        <f t="shared" si="2"/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22"/>
      <c r="U43" s="22"/>
      <c r="V43" s="16"/>
    </row>
    <row r="44" spans="1:22" x14ac:dyDescent="0.25">
      <c r="A44" s="16"/>
      <c r="B44" s="19"/>
      <c r="C44" s="22"/>
      <c r="D44" s="22"/>
      <c r="E44" s="22"/>
      <c r="F44" s="22"/>
      <c r="G44" s="10">
        <f t="shared" si="2"/>
        <v>1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16"/>
    </row>
    <row r="45" spans="1:22" x14ac:dyDescent="0.25">
      <c r="A45" s="16"/>
      <c r="B45" s="45" t="s">
        <v>137</v>
      </c>
      <c r="C45" s="22"/>
      <c r="D45" s="22"/>
      <c r="E45" s="40"/>
      <c r="F45" s="22"/>
      <c r="G45" s="10">
        <f t="shared" si="2"/>
        <v>1</v>
      </c>
      <c r="H45" s="41">
        <v>1</v>
      </c>
      <c r="I45" s="41">
        <v>2</v>
      </c>
      <c r="J45" s="41">
        <v>3</v>
      </c>
      <c r="K45" s="41">
        <v>4</v>
      </c>
      <c r="L45" s="41">
        <v>5</v>
      </c>
      <c r="M45" s="41">
        <v>6</v>
      </c>
      <c r="N45" s="41">
        <v>7</v>
      </c>
      <c r="O45" s="41">
        <v>8</v>
      </c>
      <c r="P45" s="41">
        <v>9</v>
      </c>
      <c r="Q45" s="41">
        <v>10</v>
      </c>
      <c r="R45" s="41">
        <v>11</v>
      </c>
      <c r="S45" s="41">
        <v>12</v>
      </c>
      <c r="T45" s="16"/>
      <c r="U45" s="22"/>
      <c r="V45" s="16"/>
    </row>
    <row r="46" spans="1:22" x14ac:dyDescent="0.25">
      <c r="A46" s="16"/>
      <c r="B46" s="54" t="s">
        <v>145</v>
      </c>
      <c r="C46" s="55" t="s">
        <v>12</v>
      </c>
      <c r="D46" s="56">
        <v>5209000</v>
      </c>
      <c r="E46" s="57">
        <v>0</v>
      </c>
      <c r="F46" s="58"/>
      <c r="G46" s="10">
        <f t="shared" si="2"/>
        <v>1</v>
      </c>
      <c r="H46" s="11"/>
      <c r="I46" s="11"/>
      <c r="J46" s="11"/>
      <c r="K46" s="11"/>
      <c r="L46" s="11"/>
      <c r="M46" s="11">
        <v>1</v>
      </c>
      <c r="N46" s="11"/>
      <c r="O46" s="11"/>
      <c r="P46" s="11"/>
      <c r="Q46" s="11"/>
      <c r="R46" s="11"/>
      <c r="S46" s="11"/>
      <c r="T46" s="16"/>
      <c r="U46" s="22"/>
      <c r="V46" s="16"/>
    </row>
    <row r="47" spans="1:22" x14ac:dyDescent="0.25">
      <c r="A47" s="16"/>
      <c r="B47" s="19" t="s">
        <v>145</v>
      </c>
      <c r="C47" s="53" t="s">
        <v>12</v>
      </c>
      <c r="D47" s="17"/>
      <c r="E47" s="14"/>
      <c r="F47" s="18"/>
      <c r="G47" s="10">
        <f t="shared" si="2"/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6"/>
      <c r="U47" s="22"/>
      <c r="V47" s="16"/>
    </row>
    <row r="48" spans="1:22" x14ac:dyDescent="0.25">
      <c r="A48" s="16"/>
      <c r="B48" s="19" t="s">
        <v>145</v>
      </c>
      <c r="C48" s="53" t="s">
        <v>12</v>
      </c>
      <c r="D48" s="17"/>
      <c r="E48" s="14"/>
      <c r="F48" s="18"/>
      <c r="G48" s="10">
        <f t="shared" si="2"/>
        <v>1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6"/>
      <c r="U48" s="22"/>
      <c r="V48" s="16"/>
    </row>
    <row r="49" spans="1:22" x14ac:dyDescent="0.25">
      <c r="A49" s="16"/>
      <c r="B49" s="49" t="str">
        <f>$B$20</f>
        <v>на данный момент конкретное мероприятие не определено</v>
      </c>
      <c r="C49" s="53" t="s">
        <v>12</v>
      </c>
      <c r="D49" s="17"/>
      <c r="E49" s="14"/>
      <c r="F49" s="18"/>
      <c r="G49" s="10">
        <f t="shared" si="2"/>
        <v>1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6"/>
      <c r="U49" s="22"/>
      <c r="V49" s="16"/>
    </row>
    <row r="50" spans="1:22" x14ac:dyDescent="0.25">
      <c r="A50" s="16"/>
      <c r="B50" s="19" t="s">
        <v>151</v>
      </c>
      <c r="C50" s="53" t="s">
        <v>12</v>
      </c>
      <c r="D50" s="17"/>
      <c r="E50" s="14"/>
      <c r="F50" s="18"/>
      <c r="G50" s="10">
        <f t="shared" si="2"/>
        <v>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6"/>
      <c r="U50" s="22"/>
      <c r="V50" s="16"/>
    </row>
    <row r="51" spans="1:22" x14ac:dyDescent="0.25">
      <c r="A51" s="16"/>
      <c r="B51" s="19"/>
      <c r="C51" s="22"/>
      <c r="D51" s="22"/>
      <c r="E51" s="22"/>
      <c r="F51" s="22"/>
      <c r="G51" s="10">
        <f t="shared" si="2"/>
        <v>1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16"/>
    </row>
    <row r="52" spans="1:22" x14ac:dyDescent="0.25">
      <c r="A52" s="16"/>
      <c r="B52" s="45" t="s">
        <v>135</v>
      </c>
      <c r="C52" s="22"/>
      <c r="D52" s="22"/>
      <c r="E52" s="40"/>
      <c r="F52" s="22"/>
      <c r="G52" s="10">
        <f t="shared" si="2"/>
        <v>1</v>
      </c>
      <c r="H52" s="41">
        <v>1</v>
      </c>
      <c r="I52" s="41">
        <v>2</v>
      </c>
      <c r="J52" s="41">
        <v>3</v>
      </c>
      <c r="K52" s="41">
        <v>4</v>
      </c>
      <c r="L52" s="41">
        <v>5</v>
      </c>
      <c r="M52" s="41">
        <v>6</v>
      </c>
      <c r="N52" s="41">
        <v>7</v>
      </c>
      <c r="O52" s="41">
        <v>8</v>
      </c>
      <c r="P52" s="41">
        <v>9</v>
      </c>
      <c r="Q52" s="41">
        <v>10</v>
      </c>
      <c r="R52" s="41">
        <v>11</v>
      </c>
      <c r="S52" s="41">
        <v>12</v>
      </c>
      <c r="T52" s="16"/>
      <c r="U52" s="22"/>
      <c r="V52" s="16"/>
    </row>
    <row r="53" spans="1:22" x14ac:dyDescent="0.25">
      <c r="A53" s="16"/>
      <c r="B53" s="54" t="s">
        <v>147</v>
      </c>
      <c r="C53" s="55" t="s">
        <v>12</v>
      </c>
      <c r="D53" s="56">
        <v>1687500</v>
      </c>
      <c r="E53" s="57">
        <v>0.2</v>
      </c>
      <c r="F53" s="58"/>
      <c r="G53" s="10">
        <f t="shared" si="2"/>
        <v>1</v>
      </c>
      <c r="H53" s="11"/>
      <c r="I53" s="11"/>
      <c r="J53" s="11"/>
      <c r="K53" s="11"/>
      <c r="L53" s="11"/>
      <c r="M53" s="11">
        <v>1</v>
      </c>
      <c r="N53" s="11"/>
      <c r="O53" s="11"/>
      <c r="P53" s="11"/>
      <c r="Q53" s="11"/>
      <c r="R53" s="11"/>
      <c r="S53" s="11"/>
      <c r="T53" s="16"/>
      <c r="U53" s="22"/>
      <c r="V53" s="16"/>
    </row>
    <row r="54" spans="1:22" x14ac:dyDescent="0.25">
      <c r="A54" s="16"/>
      <c r="B54" s="19" t="s">
        <v>147</v>
      </c>
      <c r="C54" s="53" t="s">
        <v>12</v>
      </c>
      <c r="D54" s="17"/>
      <c r="E54" s="14"/>
      <c r="F54" s="18"/>
      <c r="G54" s="10">
        <f t="shared" si="2"/>
        <v>1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6"/>
      <c r="U54" s="22"/>
      <c r="V54" s="16"/>
    </row>
    <row r="55" spans="1:22" x14ac:dyDescent="0.25">
      <c r="A55" s="16"/>
      <c r="B55" s="19" t="s">
        <v>147</v>
      </c>
      <c r="C55" s="53" t="s">
        <v>12</v>
      </c>
      <c r="D55" s="17"/>
      <c r="E55" s="14"/>
      <c r="F55" s="18"/>
      <c r="G55" s="10">
        <f t="shared" si="2"/>
        <v>1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6"/>
      <c r="U55" s="22"/>
      <c r="V55" s="16"/>
    </row>
    <row r="56" spans="1:22" x14ac:dyDescent="0.25">
      <c r="A56" s="16"/>
      <c r="B56" s="49" t="str">
        <f>$B$20</f>
        <v>на данный момент конкретное мероприятие не определено</v>
      </c>
      <c r="C56" s="53" t="s">
        <v>12</v>
      </c>
      <c r="D56" s="17"/>
      <c r="E56" s="14"/>
      <c r="F56" s="18"/>
      <c r="G56" s="10">
        <f t="shared" si="2"/>
        <v>1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6"/>
      <c r="U56" s="22"/>
      <c r="V56" s="16"/>
    </row>
    <row r="57" spans="1:22" x14ac:dyDescent="0.25">
      <c r="A57" s="16"/>
      <c r="B57" s="19" t="s">
        <v>151</v>
      </c>
      <c r="C57" s="53" t="s">
        <v>12</v>
      </c>
      <c r="D57" s="17"/>
      <c r="E57" s="14"/>
      <c r="F57" s="18"/>
      <c r="G57" s="10">
        <f t="shared" si="2"/>
        <v>1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6"/>
      <c r="U57" s="22"/>
      <c r="V57" s="16"/>
    </row>
    <row r="58" spans="1:22" x14ac:dyDescent="0.25">
      <c r="A58" s="16"/>
      <c r="B58" s="19"/>
      <c r="C58" s="22"/>
      <c r="D58" s="22"/>
      <c r="E58" s="22"/>
      <c r="F58" s="22"/>
      <c r="G58" s="10">
        <f t="shared" si="2"/>
        <v>1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16"/>
    </row>
    <row r="59" spans="1:22" x14ac:dyDescent="0.25">
      <c r="A59" s="16"/>
      <c r="B59" s="45" t="s">
        <v>136</v>
      </c>
      <c r="C59" s="22"/>
      <c r="D59" s="22"/>
      <c r="E59" s="40"/>
      <c r="F59" s="22"/>
      <c r="G59" s="10">
        <f t="shared" si="2"/>
        <v>1</v>
      </c>
      <c r="H59" s="41">
        <v>1</v>
      </c>
      <c r="I59" s="41">
        <v>2</v>
      </c>
      <c r="J59" s="41">
        <v>3</v>
      </c>
      <c r="K59" s="41">
        <v>4</v>
      </c>
      <c r="L59" s="41">
        <v>5</v>
      </c>
      <c r="M59" s="41">
        <v>6</v>
      </c>
      <c r="N59" s="41">
        <v>7</v>
      </c>
      <c r="O59" s="41">
        <v>8</v>
      </c>
      <c r="P59" s="41">
        <v>9</v>
      </c>
      <c r="Q59" s="41">
        <v>10</v>
      </c>
      <c r="R59" s="41">
        <v>11</v>
      </c>
      <c r="S59" s="41">
        <v>12</v>
      </c>
      <c r="T59" s="16"/>
      <c r="U59" s="22"/>
      <c r="V59" s="16"/>
    </row>
    <row r="60" spans="1:22" x14ac:dyDescent="0.25">
      <c r="A60" s="16"/>
      <c r="B60" s="54" t="s">
        <v>146</v>
      </c>
      <c r="C60" s="55" t="s">
        <v>212</v>
      </c>
      <c r="D60" s="56">
        <v>250000</v>
      </c>
      <c r="E60" s="57">
        <v>0.13</v>
      </c>
      <c r="F60" s="58"/>
      <c r="G60" s="10">
        <f t="shared" si="2"/>
        <v>1</v>
      </c>
      <c r="H60" s="11"/>
      <c r="I60" s="11"/>
      <c r="J60" s="11"/>
      <c r="K60" s="11">
        <f>1/3</f>
        <v>0.33333333333333331</v>
      </c>
      <c r="L60" s="11"/>
      <c r="M60" s="11">
        <f t="shared" ref="M60:N60" si="3">1/3</f>
        <v>0.33333333333333331</v>
      </c>
      <c r="N60" s="11">
        <f t="shared" si="3"/>
        <v>0.33333333333333331</v>
      </c>
      <c r="O60" s="11"/>
      <c r="P60" s="11"/>
      <c r="Q60" s="11"/>
      <c r="R60" s="11"/>
      <c r="S60" s="11"/>
      <c r="T60" s="16"/>
      <c r="U60" s="22"/>
      <c r="V60" s="16"/>
    </row>
    <row r="61" spans="1:22" x14ac:dyDescent="0.25">
      <c r="A61" s="16"/>
      <c r="B61" s="19" t="s">
        <v>146</v>
      </c>
      <c r="C61" s="53" t="s">
        <v>12</v>
      </c>
      <c r="D61" s="17"/>
      <c r="E61" s="14"/>
      <c r="F61" s="18"/>
      <c r="G61" s="10">
        <f t="shared" si="2"/>
        <v>1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6"/>
      <c r="U61" s="22"/>
      <c r="V61" s="16"/>
    </row>
    <row r="62" spans="1:22" x14ac:dyDescent="0.25">
      <c r="A62" s="16"/>
      <c r="B62" s="19" t="s">
        <v>146</v>
      </c>
      <c r="C62" s="53" t="s">
        <v>12</v>
      </c>
      <c r="D62" s="17"/>
      <c r="E62" s="14"/>
      <c r="F62" s="18"/>
      <c r="G62" s="10">
        <f t="shared" si="2"/>
        <v>1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6"/>
      <c r="U62" s="22"/>
      <c r="V62" s="16"/>
    </row>
    <row r="63" spans="1:22" x14ac:dyDescent="0.25">
      <c r="A63" s="16"/>
      <c r="B63" s="49" t="str">
        <f>$B$20</f>
        <v>на данный момент конкретное мероприятие не определено</v>
      </c>
      <c r="C63" s="53" t="s">
        <v>12</v>
      </c>
      <c r="D63" s="17"/>
      <c r="E63" s="14"/>
      <c r="F63" s="18"/>
      <c r="G63" s="10">
        <f t="shared" si="2"/>
        <v>1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6"/>
      <c r="U63" s="22"/>
      <c r="V63" s="16"/>
    </row>
    <row r="64" spans="1:22" x14ac:dyDescent="0.25">
      <c r="A64" s="16"/>
      <c r="B64" s="19" t="s">
        <v>151</v>
      </c>
      <c r="C64" s="53" t="s">
        <v>12</v>
      </c>
      <c r="D64" s="17"/>
      <c r="E64" s="14"/>
      <c r="F64" s="18"/>
      <c r="G64" s="10">
        <f t="shared" si="2"/>
        <v>1</v>
      </c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6"/>
      <c r="U64" s="22"/>
      <c r="V64" s="16"/>
    </row>
    <row r="65" spans="1:22" x14ac:dyDescent="0.25">
      <c r="A65" s="16"/>
      <c r="B65" s="19"/>
      <c r="C65" s="22"/>
      <c r="D65" s="22"/>
      <c r="E65" s="22"/>
      <c r="F65" s="22"/>
      <c r="G65" s="10">
        <f t="shared" si="2"/>
        <v>1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16"/>
    </row>
    <row r="66" spans="1:22" x14ac:dyDescent="0.25">
      <c r="A66" s="16"/>
      <c r="B66" s="45" t="s">
        <v>41</v>
      </c>
      <c r="C66" s="22"/>
      <c r="D66" s="22"/>
      <c r="E66" s="40"/>
      <c r="F66" s="22"/>
      <c r="G66" s="10">
        <f t="shared" si="2"/>
        <v>1</v>
      </c>
      <c r="H66" s="41">
        <v>1</v>
      </c>
      <c r="I66" s="41">
        <v>2</v>
      </c>
      <c r="J66" s="41">
        <v>3</v>
      </c>
      <c r="K66" s="41">
        <v>4</v>
      </c>
      <c r="L66" s="41">
        <v>5</v>
      </c>
      <c r="M66" s="41">
        <v>6</v>
      </c>
      <c r="N66" s="41">
        <v>7</v>
      </c>
      <c r="O66" s="41">
        <v>8</v>
      </c>
      <c r="P66" s="41">
        <v>9</v>
      </c>
      <c r="Q66" s="41">
        <v>10</v>
      </c>
      <c r="R66" s="41">
        <v>11</v>
      </c>
      <c r="S66" s="41">
        <v>12</v>
      </c>
      <c r="T66" s="16"/>
      <c r="U66" s="22"/>
      <c r="V66" s="16"/>
    </row>
    <row r="67" spans="1:22" x14ac:dyDescent="0.25">
      <c r="A67" s="16"/>
      <c r="B67" s="54" t="s">
        <v>78</v>
      </c>
      <c r="C67" s="55" t="s">
        <v>12</v>
      </c>
      <c r="D67" s="56">
        <v>500000</v>
      </c>
      <c r="E67" s="57">
        <v>0</v>
      </c>
      <c r="F67" s="58"/>
      <c r="G67" s="10">
        <f t="shared" si="2"/>
        <v>1</v>
      </c>
      <c r="H67" s="11"/>
      <c r="I67" s="11"/>
      <c r="J67" s="11"/>
      <c r="K67" s="11"/>
      <c r="L67" s="11"/>
      <c r="M67" s="11">
        <v>0.5</v>
      </c>
      <c r="N67" s="11">
        <v>0.5</v>
      </c>
      <c r="O67" s="11"/>
      <c r="P67" s="11"/>
      <c r="Q67" s="11"/>
      <c r="R67" s="11"/>
      <c r="S67" s="11"/>
      <c r="T67" s="16"/>
      <c r="U67" s="22"/>
      <c r="V67" s="16"/>
    </row>
    <row r="68" spans="1:22" x14ac:dyDescent="0.25">
      <c r="A68" s="16"/>
      <c r="B68" s="19" t="s">
        <v>97</v>
      </c>
      <c r="C68" s="53" t="s">
        <v>12</v>
      </c>
      <c r="D68" s="17"/>
      <c r="E68" s="14"/>
      <c r="F68" s="18"/>
      <c r="G68" s="10">
        <f t="shared" si="2"/>
        <v>1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6"/>
      <c r="U68" s="22"/>
      <c r="V68" s="16"/>
    </row>
    <row r="69" spans="1:22" x14ac:dyDescent="0.25">
      <c r="A69" s="16"/>
      <c r="B69" s="49" t="str">
        <f>$B$20</f>
        <v>на данный момент конкретное мероприятие не определено</v>
      </c>
      <c r="C69" s="53" t="s">
        <v>12</v>
      </c>
      <c r="D69" s="17"/>
      <c r="E69" s="14"/>
      <c r="F69" s="18"/>
      <c r="G69" s="10">
        <f t="shared" si="2"/>
        <v>1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6"/>
      <c r="U69" s="22"/>
      <c r="V69" s="16"/>
    </row>
    <row r="70" spans="1:22" x14ac:dyDescent="0.25">
      <c r="A70" s="16"/>
      <c r="B70" s="19" t="s">
        <v>151</v>
      </c>
      <c r="C70" s="53" t="s">
        <v>12</v>
      </c>
      <c r="D70" s="17"/>
      <c r="E70" s="14"/>
      <c r="F70" s="18"/>
      <c r="G70" s="10">
        <f t="shared" si="2"/>
        <v>1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6"/>
      <c r="U70" s="22"/>
      <c r="V70" s="16"/>
    </row>
    <row r="71" spans="1:22" x14ac:dyDescent="0.25">
      <c r="A71" s="16"/>
      <c r="B71" s="19"/>
      <c r="C71" s="16"/>
      <c r="D71" s="16"/>
      <c r="E71" s="16"/>
      <c r="F71" s="16"/>
      <c r="G71" s="10">
        <f t="shared" si="2"/>
        <v>1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22"/>
      <c r="V71" s="16"/>
    </row>
    <row r="72" spans="1:22" x14ac:dyDescent="0.25">
      <c r="A72" s="16"/>
      <c r="B72" s="45" t="s">
        <v>93</v>
      </c>
      <c r="C72" s="22"/>
      <c r="D72" s="22"/>
      <c r="E72" s="40"/>
      <c r="F72" s="22"/>
      <c r="G72" s="10">
        <f t="shared" ref="G72:G81" si="4">IF($D72=0,1,SUM(H72:S72))</f>
        <v>1</v>
      </c>
      <c r="H72" s="41">
        <v>1</v>
      </c>
      <c r="I72" s="41">
        <v>2</v>
      </c>
      <c r="J72" s="41">
        <v>3</v>
      </c>
      <c r="K72" s="41">
        <v>4</v>
      </c>
      <c r="L72" s="41">
        <v>5</v>
      </c>
      <c r="M72" s="41">
        <v>6</v>
      </c>
      <c r="N72" s="41">
        <v>7</v>
      </c>
      <c r="O72" s="41">
        <v>8</v>
      </c>
      <c r="P72" s="41">
        <v>9</v>
      </c>
      <c r="Q72" s="41">
        <v>10</v>
      </c>
      <c r="R72" s="41">
        <v>11</v>
      </c>
      <c r="S72" s="41">
        <v>12</v>
      </c>
      <c r="T72" s="16"/>
      <c r="U72" s="22"/>
      <c r="V72" s="16"/>
    </row>
    <row r="73" spans="1:22" x14ac:dyDescent="0.25">
      <c r="A73" s="16"/>
      <c r="B73" s="54" t="s">
        <v>49</v>
      </c>
      <c r="C73" s="55" t="s">
        <v>12</v>
      </c>
      <c r="D73" s="56">
        <v>3250000</v>
      </c>
      <c r="E73" s="57">
        <v>0</v>
      </c>
      <c r="F73" s="58"/>
      <c r="G73" s="10">
        <f t="shared" si="4"/>
        <v>1</v>
      </c>
      <c r="H73" s="11"/>
      <c r="I73" s="11"/>
      <c r="J73" s="11"/>
      <c r="K73" s="11"/>
      <c r="L73" s="11"/>
      <c r="M73" s="11">
        <v>1</v>
      </c>
      <c r="N73" s="11"/>
      <c r="O73" s="11"/>
      <c r="P73" s="11"/>
      <c r="Q73" s="11"/>
      <c r="R73" s="11"/>
      <c r="S73" s="11"/>
      <c r="T73" s="16"/>
      <c r="U73" s="22"/>
      <c r="V73" s="16"/>
    </row>
    <row r="74" spans="1:22" x14ac:dyDescent="0.25">
      <c r="A74" s="16"/>
      <c r="B74" s="19" t="s">
        <v>138</v>
      </c>
      <c r="C74" s="53" t="s">
        <v>12</v>
      </c>
      <c r="D74" s="17">
        <v>500000</v>
      </c>
      <c r="E74" s="14">
        <v>0.2</v>
      </c>
      <c r="F74" s="18"/>
      <c r="G74" s="10">
        <f t="shared" si="4"/>
        <v>1</v>
      </c>
      <c r="H74" s="11"/>
      <c r="I74" s="11"/>
      <c r="J74" s="11"/>
      <c r="K74" s="11"/>
      <c r="L74" s="11"/>
      <c r="M74" s="11"/>
      <c r="N74" s="11">
        <v>1</v>
      </c>
      <c r="O74" s="11"/>
      <c r="P74" s="11"/>
      <c r="Q74" s="11"/>
      <c r="R74" s="11"/>
      <c r="S74" s="11"/>
      <c r="T74" s="16"/>
      <c r="U74" s="22"/>
      <c r="V74" s="16"/>
    </row>
    <row r="75" spans="1:22" x14ac:dyDescent="0.25">
      <c r="A75" s="16"/>
      <c r="B75" s="19" t="s">
        <v>48</v>
      </c>
      <c r="C75" s="53" t="s">
        <v>12</v>
      </c>
      <c r="D75" s="17">
        <v>50000</v>
      </c>
      <c r="E75" s="14">
        <v>0</v>
      </c>
      <c r="F75" s="18"/>
      <c r="G75" s="10">
        <f t="shared" si="4"/>
        <v>1</v>
      </c>
      <c r="H75" s="11"/>
      <c r="I75" s="11"/>
      <c r="J75" s="11"/>
      <c r="K75" s="11"/>
      <c r="L75" s="11"/>
      <c r="M75" s="11"/>
      <c r="N75" s="11">
        <v>1</v>
      </c>
      <c r="O75" s="11"/>
      <c r="P75" s="11"/>
      <c r="Q75" s="11"/>
      <c r="R75" s="11"/>
      <c r="S75" s="11"/>
      <c r="T75" s="16"/>
      <c r="V75" s="16"/>
    </row>
    <row r="76" spans="1:22" x14ac:dyDescent="0.25">
      <c r="A76" s="16"/>
      <c r="B76" s="19" t="s">
        <v>65</v>
      </c>
      <c r="C76" s="53" t="s">
        <v>12</v>
      </c>
      <c r="D76" s="17">
        <v>50000</v>
      </c>
      <c r="E76" s="14">
        <v>0.2</v>
      </c>
      <c r="F76" s="18"/>
      <c r="G76" s="10">
        <f t="shared" si="4"/>
        <v>1</v>
      </c>
      <c r="H76" s="11"/>
      <c r="I76" s="11"/>
      <c r="J76" s="11"/>
      <c r="K76" s="11"/>
      <c r="L76" s="11"/>
      <c r="M76" s="11"/>
      <c r="N76" s="11">
        <v>1</v>
      </c>
      <c r="O76" s="11"/>
      <c r="P76" s="11"/>
      <c r="Q76" s="11"/>
      <c r="R76" s="11"/>
      <c r="S76" s="11"/>
      <c r="T76" s="16"/>
      <c r="U76" s="22"/>
      <c r="V76" s="16"/>
    </row>
    <row r="77" spans="1:22" x14ac:dyDescent="0.25">
      <c r="A77" s="16"/>
      <c r="B77" s="49" t="str">
        <f>$B$20</f>
        <v>на данный момент конкретное мероприятие не определено</v>
      </c>
      <c r="C77" s="53" t="s">
        <v>12</v>
      </c>
      <c r="D77" s="17"/>
      <c r="E77" s="14"/>
      <c r="F77" s="18"/>
      <c r="G77" s="10">
        <f t="shared" si="4"/>
        <v>1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6"/>
      <c r="U77" s="22"/>
      <c r="V77" s="16"/>
    </row>
    <row r="78" spans="1:22" x14ac:dyDescent="0.25">
      <c r="A78" s="16"/>
      <c r="B78" s="19" t="s">
        <v>151</v>
      </c>
      <c r="C78" s="53" t="s">
        <v>12</v>
      </c>
      <c r="D78" s="17"/>
      <c r="E78" s="14"/>
      <c r="F78" s="18"/>
      <c r="G78" s="10">
        <f t="shared" si="4"/>
        <v>1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6"/>
      <c r="U78" s="22"/>
      <c r="V78" s="16"/>
    </row>
    <row r="79" spans="1:22" x14ac:dyDescent="0.25">
      <c r="A79" s="16"/>
      <c r="B79" s="19"/>
      <c r="C79" s="16"/>
      <c r="D79" s="16"/>
      <c r="E79" s="16"/>
      <c r="F79" s="16"/>
      <c r="G79" s="10">
        <f t="shared" si="4"/>
        <v>1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22"/>
      <c r="V79" s="16"/>
    </row>
    <row r="80" spans="1:22" x14ac:dyDescent="0.25">
      <c r="B80" s="45" t="s">
        <v>148</v>
      </c>
      <c r="C80" s="22"/>
      <c r="D80" s="22"/>
      <c r="E80" s="40"/>
      <c r="F80" s="22"/>
      <c r="G80" s="10">
        <f t="shared" si="4"/>
        <v>1</v>
      </c>
      <c r="H80" s="41">
        <v>1</v>
      </c>
      <c r="I80" s="41">
        <v>2</v>
      </c>
      <c r="J80" s="41">
        <v>3</v>
      </c>
      <c r="K80" s="41">
        <v>4</v>
      </c>
      <c r="L80" s="41">
        <v>5</v>
      </c>
      <c r="M80" s="41">
        <v>6</v>
      </c>
      <c r="N80" s="41">
        <v>7</v>
      </c>
      <c r="O80" s="41">
        <v>8</v>
      </c>
      <c r="P80" s="41">
        <v>9</v>
      </c>
      <c r="Q80" s="41">
        <v>10</v>
      </c>
      <c r="R80" s="41">
        <v>11</v>
      </c>
      <c r="S80" s="41">
        <v>12</v>
      </c>
      <c r="T80" s="16"/>
      <c r="U80" s="22"/>
      <c r="V80" s="16"/>
    </row>
    <row r="81" spans="1:22" ht="14.45" customHeight="1" x14ac:dyDescent="0.25">
      <c r="B81" s="54" t="s">
        <v>91</v>
      </c>
      <c r="C81" s="55" t="s">
        <v>12</v>
      </c>
      <c r="D81" s="56"/>
      <c r="E81" s="57"/>
      <c r="F81" s="58"/>
      <c r="G81" s="10">
        <f t="shared" si="4"/>
        <v>1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U81" s="22"/>
      <c r="V81" s="22"/>
    </row>
    <row r="82" spans="1:22" ht="14.45" customHeight="1" x14ac:dyDescent="0.25">
      <c r="B82" s="19" t="s">
        <v>88</v>
      </c>
      <c r="C82" s="53" t="s">
        <v>12</v>
      </c>
      <c r="D82" s="17"/>
      <c r="E82" s="14"/>
      <c r="F82" s="18"/>
      <c r="G82" s="10">
        <f t="shared" ref="G82:G144" si="5">IF($D82=0,1,SUM(H82:S82))</f>
        <v>1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U82" s="32"/>
      <c r="V82" s="22"/>
    </row>
    <row r="83" spans="1:22" ht="14.45" customHeight="1" x14ac:dyDescent="0.25">
      <c r="B83" s="19" t="s">
        <v>85</v>
      </c>
      <c r="C83" s="53" t="s">
        <v>12</v>
      </c>
      <c r="D83" s="17"/>
      <c r="E83" s="14"/>
      <c r="F83" s="18"/>
      <c r="G83" s="10">
        <f t="shared" si="5"/>
        <v>1</v>
      </c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U83" s="32"/>
      <c r="V83" s="22"/>
    </row>
    <row r="84" spans="1:22" ht="14.45" customHeight="1" x14ac:dyDescent="0.25">
      <c r="B84" s="19" t="s">
        <v>83</v>
      </c>
      <c r="C84" s="53" t="s">
        <v>12</v>
      </c>
      <c r="D84" s="17"/>
      <c r="E84" s="14"/>
      <c r="F84" s="18"/>
      <c r="G84" s="10">
        <f t="shared" si="5"/>
        <v>1</v>
      </c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U84" s="22"/>
      <c r="V84" s="22"/>
    </row>
    <row r="85" spans="1:22" ht="14.45" customHeight="1" x14ac:dyDescent="0.25">
      <c r="B85" s="19" t="s">
        <v>84</v>
      </c>
      <c r="C85" s="53" t="s">
        <v>12</v>
      </c>
      <c r="D85" s="17"/>
      <c r="E85" s="14"/>
      <c r="F85" s="18"/>
      <c r="G85" s="10">
        <f t="shared" si="5"/>
        <v>1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U85" s="22"/>
      <c r="V85" s="22"/>
    </row>
    <row r="86" spans="1:22" ht="14.45" customHeight="1" x14ac:dyDescent="0.25">
      <c r="B86" s="31" t="s">
        <v>92</v>
      </c>
      <c r="C86" s="53" t="s">
        <v>12</v>
      </c>
      <c r="D86" s="17">
        <v>10000</v>
      </c>
      <c r="E86" s="14">
        <v>0</v>
      </c>
      <c r="F86" s="18"/>
      <c r="G86" s="10">
        <f t="shared" si="5"/>
        <v>1</v>
      </c>
      <c r="H86" s="11">
        <v>1</v>
      </c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U86" s="32"/>
      <c r="V86" s="22"/>
    </row>
    <row r="87" spans="1:22" ht="14.45" customHeight="1" x14ac:dyDescent="0.25">
      <c r="B87" s="31" t="s">
        <v>87</v>
      </c>
      <c r="C87" s="53" t="s">
        <v>12</v>
      </c>
      <c r="D87" s="17">
        <v>100000</v>
      </c>
      <c r="E87" s="14">
        <v>0</v>
      </c>
      <c r="F87" s="18"/>
      <c r="G87" s="10">
        <f t="shared" si="5"/>
        <v>1</v>
      </c>
      <c r="H87" s="11">
        <v>1</v>
      </c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U87" s="32"/>
      <c r="V87" s="22"/>
    </row>
    <row r="88" spans="1:22" ht="14.45" customHeight="1" x14ac:dyDescent="0.25">
      <c r="B88" s="31" t="s">
        <v>88</v>
      </c>
      <c r="C88" s="53" t="s">
        <v>12</v>
      </c>
      <c r="D88" s="17">
        <v>250000</v>
      </c>
      <c r="E88" s="14">
        <v>0.2</v>
      </c>
      <c r="F88" s="18"/>
      <c r="G88" s="10">
        <f t="shared" si="5"/>
        <v>1</v>
      </c>
      <c r="H88" s="11"/>
      <c r="I88" s="11">
        <v>0.25</v>
      </c>
      <c r="J88" s="11">
        <v>0.25</v>
      </c>
      <c r="K88" s="11">
        <v>0.25</v>
      </c>
      <c r="L88" s="11">
        <v>0.25</v>
      </c>
      <c r="M88" s="11"/>
      <c r="N88" s="11"/>
      <c r="O88" s="11"/>
      <c r="P88" s="11"/>
      <c r="Q88" s="11"/>
      <c r="R88" s="11"/>
      <c r="S88" s="11"/>
      <c r="U88" s="32"/>
      <c r="V88" s="22"/>
    </row>
    <row r="89" spans="1:22" ht="14.45" customHeight="1" x14ac:dyDescent="0.25">
      <c r="B89" s="31" t="s">
        <v>89</v>
      </c>
      <c r="C89" s="53" t="s">
        <v>12</v>
      </c>
      <c r="D89" s="17">
        <v>100000</v>
      </c>
      <c r="E89" s="14">
        <v>0.2</v>
      </c>
      <c r="F89" s="18"/>
      <c r="G89" s="10">
        <f t="shared" si="5"/>
        <v>1</v>
      </c>
      <c r="H89" s="11"/>
      <c r="I89" s="11"/>
      <c r="J89" s="11"/>
      <c r="K89" s="11"/>
      <c r="L89" s="11"/>
      <c r="M89" s="11">
        <v>1</v>
      </c>
      <c r="N89" s="11"/>
      <c r="O89" s="11"/>
      <c r="P89" s="11"/>
      <c r="Q89" s="11"/>
      <c r="R89" s="11"/>
      <c r="S89" s="11"/>
      <c r="U89" s="32"/>
      <c r="V89" s="22"/>
    </row>
    <row r="90" spans="1:22" ht="14.45" customHeight="1" x14ac:dyDescent="0.25">
      <c r="B90" s="31" t="s">
        <v>90</v>
      </c>
      <c r="C90" s="53" t="s">
        <v>12</v>
      </c>
      <c r="D90" s="17"/>
      <c r="E90" s="14"/>
      <c r="F90" s="18"/>
      <c r="G90" s="10">
        <f t="shared" si="5"/>
        <v>1</v>
      </c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U90" s="32"/>
      <c r="V90" s="22"/>
    </row>
    <row r="91" spans="1:22" ht="14.45" customHeight="1" x14ac:dyDescent="0.25">
      <c r="B91" s="19" t="s">
        <v>86</v>
      </c>
      <c r="C91" s="53" t="s">
        <v>12</v>
      </c>
      <c r="D91" s="17">
        <v>10000</v>
      </c>
      <c r="E91" s="14">
        <v>0.2</v>
      </c>
      <c r="F91" s="18"/>
      <c r="G91" s="10">
        <f t="shared" si="5"/>
        <v>1</v>
      </c>
      <c r="H91" s="11"/>
      <c r="I91" s="11"/>
      <c r="J91" s="11"/>
      <c r="K91" s="11"/>
      <c r="L91" s="11"/>
      <c r="M91" s="11"/>
      <c r="N91" s="11">
        <v>1</v>
      </c>
      <c r="O91" s="11"/>
      <c r="P91" s="11"/>
      <c r="Q91" s="11"/>
      <c r="R91" s="11"/>
      <c r="S91" s="11"/>
      <c r="U91" s="32"/>
      <c r="V91" s="22"/>
    </row>
    <row r="92" spans="1:22" ht="14.45" customHeight="1" x14ac:dyDescent="0.25">
      <c r="B92" s="49" t="str">
        <f>$B$20</f>
        <v>на данный момент конкретное мероприятие не определено</v>
      </c>
      <c r="C92" s="53" t="s">
        <v>12</v>
      </c>
      <c r="D92" s="17"/>
      <c r="E92" s="14"/>
      <c r="F92" s="18"/>
      <c r="G92" s="10">
        <f t="shared" si="5"/>
        <v>1</v>
      </c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U92" s="32"/>
      <c r="V92" s="22"/>
    </row>
    <row r="93" spans="1:22" ht="14.45" customHeight="1" x14ac:dyDescent="0.25">
      <c r="B93" s="19" t="s">
        <v>151</v>
      </c>
      <c r="C93" s="53" t="s">
        <v>12</v>
      </c>
      <c r="D93" s="17"/>
      <c r="E93" s="14"/>
      <c r="F93" s="18"/>
      <c r="G93" s="10">
        <f t="shared" si="5"/>
        <v>1</v>
      </c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U93" s="32"/>
      <c r="V93" s="22"/>
    </row>
    <row r="94" spans="1:22" x14ac:dyDescent="0.25">
      <c r="A94" s="16"/>
      <c r="B94" s="19"/>
      <c r="C94" s="16"/>
      <c r="D94" s="16"/>
      <c r="E94" s="16"/>
      <c r="F94" s="16"/>
      <c r="G94" s="10">
        <f t="shared" si="5"/>
        <v>1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16"/>
    </row>
    <row r="95" spans="1:22" x14ac:dyDescent="0.25">
      <c r="A95" s="16"/>
      <c r="B95" s="62" t="s">
        <v>326</v>
      </c>
      <c r="C95" s="22"/>
      <c r="D95" s="22"/>
      <c r="E95" s="40"/>
      <c r="F95" s="22"/>
      <c r="G95" s="10">
        <f t="shared" si="5"/>
        <v>1</v>
      </c>
      <c r="H95" s="41">
        <v>1</v>
      </c>
      <c r="I95" s="41">
        <v>2</v>
      </c>
      <c r="J95" s="41">
        <v>3</v>
      </c>
      <c r="K95" s="41">
        <v>4</v>
      </c>
      <c r="L95" s="41">
        <v>5</v>
      </c>
      <c r="M95" s="41">
        <v>6</v>
      </c>
      <c r="N95" s="41">
        <v>7</v>
      </c>
      <c r="O95" s="41">
        <v>8</v>
      </c>
      <c r="P95" s="41">
        <v>9</v>
      </c>
      <c r="Q95" s="41">
        <v>10</v>
      </c>
      <c r="R95" s="41">
        <v>11</v>
      </c>
      <c r="S95" s="41">
        <v>12</v>
      </c>
      <c r="T95" s="16"/>
      <c r="U95" s="22"/>
      <c r="V95" s="16"/>
    </row>
    <row r="96" spans="1:22" x14ac:dyDescent="0.25">
      <c r="B96" s="19" t="s">
        <v>321</v>
      </c>
      <c r="C96" s="55" t="s">
        <v>12</v>
      </c>
      <c r="D96" s="56">
        <v>150000</v>
      </c>
      <c r="E96" s="57">
        <v>0.2</v>
      </c>
      <c r="F96" s="58"/>
      <c r="G96" s="10">
        <f t="shared" si="5"/>
        <v>1</v>
      </c>
      <c r="H96" s="11"/>
      <c r="I96" s="11"/>
      <c r="J96" s="11"/>
      <c r="K96" s="11"/>
      <c r="L96" s="11">
        <v>0.5</v>
      </c>
      <c r="M96" s="11">
        <v>0.5</v>
      </c>
      <c r="N96" s="11"/>
      <c r="O96" s="11"/>
      <c r="P96" s="11"/>
      <c r="Q96" s="11"/>
      <c r="R96" s="11"/>
      <c r="S96" s="11"/>
      <c r="U96" s="22"/>
    </row>
    <row r="97" spans="1:22" x14ac:dyDescent="0.25">
      <c r="B97" s="19" t="s">
        <v>322</v>
      </c>
      <c r="C97" s="53" t="s">
        <v>12</v>
      </c>
      <c r="D97" s="17"/>
      <c r="E97" s="14"/>
      <c r="F97" s="18"/>
      <c r="G97" s="10">
        <f t="shared" si="5"/>
        <v>1</v>
      </c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U97" s="22"/>
    </row>
    <row r="98" spans="1:22" x14ac:dyDescent="0.25">
      <c r="B98" s="19" t="s">
        <v>323</v>
      </c>
      <c r="C98" s="53" t="s">
        <v>12</v>
      </c>
      <c r="D98" s="17"/>
      <c r="E98" s="14"/>
      <c r="F98" s="18"/>
      <c r="G98" s="10">
        <f t="shared" si="5"/>
        <v>1</v>
      </c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1:22" x14ac:dyDescent="0.25">
      <c r="B99" s="19" t="s">
        <v>324</v>
      </c>
      <c r="C99" s="53" t="s">
        <v>12</v>
      </c>
      <c r="D99" s="17"/>
      <c r="E99" s="14"/>
      <c r="F99" s="18"/>
      <c r="G99" s="10">
        <f t="shared" si="5"/>
        <v>1</v>
      </c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U99" s="22"/>
    </row>
    <row r="100" spans="1:22" x14ac:dyDescent="0.25">
      <c r="B100" s="19" t="s">
        <v>325</v>
      </c>
      <c r="C100" s="53" t="s">
        <v>12</v>
      </c>
      <c r="D100" s="17"/>
      <c r="E100" s="14"/>
      <c r="F100" s="18"/>
      <c r="G100" s="10">
        <f t="shared" si="5"/>
        <v>1</v>
      </c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U100" s="22"/>
    </row>
    <row r="101" spans="1:22" x14ac:dyDescent="0.25">
      <c r="A101" s="16"/>
      <c r="B101" s="49" t="str">
        <f>$B$20</f>
        <v>на данный момент конкретное мероприятие не определено</v>
      </c>
      <c r="C101" s="53" t="s">
        <v>12</v>
      </c>
      <c r="D101" s="17"/>
      <c r="E101" s="14"/>
      <c r="F101" s="18"/>
      <c r="G101" s="10">
        <f t="shared" si="5"/>
        <v>1</v>
      </c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6"/>
      <c r="U101" s="22"/>
      <c r="V101" s="16"/>
    </row>
    <row r="102" spans="1:22" x14ac:dyDescent="0.25">
      <c r="A102" s="16"/>
      <c r="B102" s="19" t="s">
        <v>151</v>
      </c>
      <c r="C102" s="53" t="s">
        <v>12</v>
      </c>
      <c r="D102" s="17"/>
      <c r="E102" s="14"/>
      <c r="F102" s="18"/>
      <c r="G102" s="10">
        <f t="shared" si="5"/>
        <v>1</v>
      </c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6"/>
      <c r="U102" s="22"/>
      <c r="V102" s="16"/>
    </row>
    <row r="103" spans="1:22" x14ac:dyDescent="0.25">
      <c r="A103" s="16"/>
      <c r="B103" s="19"/>
      <c r="C103" s="16"/>
      <c r="D103" s="16"/>
      <c r="E103" s="16"/>
      <c r="F103" s="16"/>
      <c r="G103" s="10">
        <f t="shared" si="5"/>
        <v>1</v>
      </c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22"/>
      <c r="V103" s="16"/>
    </row>
    <row r="104" spans="1:22" x14ac:dyDescent="0.25">
      <c r="A104" s="16"/>
      <c r="B104" s="45" t="s">
        <v>55</v>
      </c>
      <c r="C104" s="22"/>
      <c r="D104" s="22"/>
      <c r="E104" s="40"/>
      <c r="F104" s="22"/>
      <c r="G104" s="10">
        <f t="shared" si="5"/>
        <v>1</v>
      </c>
      <c r="H104" s="41">
        <v>1</v>
      </c>
      <c r="I104" s="41">
        <v>2</v>
      </c>
      <c r="J104" s="41">
        <v>3</v>
      </c>
      <c r="K104" s="41">
        <v>4</v>
      </c>
      <c r="L104" s="41">
        <v>5</v>
      </c>
      <c r="M104" s="41">
        <v>6</v>
      </c>
      <c r="N104" s="41">
        <v>7</v>
      </c>
      <c r="O104" s="41">
        <v>8</v>
      </c>
      <c r="P104" s="41">
        <v>9</v>
      </c>
      <c r="Q104" s="41">
        <v>10</v>
      </c>
      <c r="R104" s="41">
        <v>11</v>
      </c>
      <c r="S104" s="41">
        <v>12</v>
      </c>
      <c r="T104" s="16"/>
      <c r="U104" s="22"/>
      <c r="V104" s="16"/>
    </row>
    <row r="105" spans="1:22" x14ac:dyDescent="0.25">
      <c r="A105" s="16"/>
      <c r="B105" s="54" t="s">
        <v>71</v>
      </c>
      <c r="C105" s="55" t="s">
        <v>12</v>
      </c>
      <c r="D105" s="56"/>
      <c r="E105" s="57"/>
      <c r="F105" s="58"/>
      <c r="G105" s="10">
        <f t="shared" si="5"/>
        <v>1</v>
      </c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6"/>
      <c r="V105" s="16"/>
    </row>
    <row r="106" spans="1:22" x14ac:dyDescent="0.25">
      <c r="A106" s="16"/>
      <c r="B106" s="19" t="s">
        <v>75</v>
      </c>
      <c r="C106" s="53" t="s">
        <v>12</v>
      </c>
      <c r="D106" s="17"/>
      <c r="E106" s="14"/>
      <c r="F106" s="18"/>
      <c r="G106" s="10">
        <f t="shared" si="5"/>
        <v>1</v>
      </c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6"/>
      <c r="U106" s="22"/>
      <c r="V106" s="16"/>
    </row>
    <row r="107" spans="1:22" x14ac:dyDescent="0.25">
      <c r="A107" s="16"/>
      <c r="B107" s="19" t="s">
        <v>72</v>
      </c>
      <c r="C107" s="53" t="s">
        <v>12</v>
      </c>
      <c r="D107" s="17"/>
      <c r="E107" s="14"/>
      <c r="F107" s="18"/>
      <c r="G107" s="10">
        <f t="shared" si="5"/>
        <v>1</v>
      </c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6"/>
      <c r="U107" s="22"/>
      <c r="V107" s="16"/>
    </row>
    <row r="108" spans="1:22" x14ac:dyDescent="0.25">
      <c r="A108" s="16"/>
      <c r="B108" s="19" t="s">
        <v>74</v>
      </c>
      <c r="C108" s="53" t="s">
        <v>13</v>
      </c>
      <c r="D108" s="17">
        <v>60000</v>
      </c>
      <c r="E108" s="14">
        <v>0</v>
      </c>
      <c r="F108" s="18"/>
      <c r="G108" s="10">
        <f t="shared" si="5"/>
        <v>0.99999999999999989</v>
      </c>
      <c r="H108" s="11">
        <f>1/6</f>
        <v>0.16666666666666666</v>
      </c>
      <c r="I108" s="11">
        <f t="shared" ref="I108:M108" si="6">1/6</f>
        <v>0.16666666666666666</v>
      </c>
      <c r="J108" s="11">
        <f t="shared" si="6"/>
        <v>0.16666666666666666</v>
      </c>
      <c r="K108" s="11">
        <f t="shared" si="6"/>
        <v>0.16666666666666666</v>
      </c>
      <c r="L108" s="11">
        <f t="shared" si="6"/>
        <v>0.16666666666666666</v>
      </c>
      <c r="M108" s="11">
        <f t="shared" si="6"/>
        <v>0.16666666666666666</v>
      </c>
      <c r="N108" s="11"/>
      <c r="O108" s="11"/>
      <c r="P108" s="11"/>
      <c r="Q108" s="11"/>
      <c r="R108" s="11"/>
      <c r="S108" s="11"/>
      <c r="T108" s="16"/>
      <c r="U108" s="22"/>
      <c r="V108" s="16"/>
    </row>
    <row r="109" spans="1:22" x14ac:dyDescent="0.25">
      <c r="A109" s="16"/>
      <c r="B109" s="19" t="s">
        <v>67</v>
      </c>
      <c r="C109" s="53" t="s">
        <v>13</v>
      </c>
      <c r="D109" s="17">
        <v>80000</v>
      </c>
      <c r="E109" s="14">
        <v>0</v>
      </c>
      <c r="F109" s="18"/>
      <c r="G109" s="10">
        <f t="shared" si="5"/>
        <v>1</v>
      </c>
      <c r="H109" s="11">
        <f>1/3</f>
        <v>0.33333333333333331</v>
      </c>
      <c r="I109" s="11"/>
      <c r="J109" s="11">
        <f>1/3</f>
        <v>0.33333333333333331</v>
      </c>
      <c r="K109" s="11"/>
      <c r="L109" s="11">
        <f>1/3</f>
        <v>0.33333333333333331</v>
      </c>
      <c r="M109" s="11"/>
      <c r="N109" s="11"/>
      <c r="O109" s="11"/>
      <c r="P109" s="11"/>
      <c r="Q109" s="11"/>
      <c r="R109" s="11"/>
      <c r="S109" s="11"/>
      <c r="T109" s="16"/>
      <c r="V109" s="16"/>
    </row>
    <row r="110" spans="1:22" x14ac:dyDescent="0.25">
      <c r="A110" s="16"/>
      <c r="B110" s="19" t="s">
        <v>69</v>
      </c>
      <c r="C110" s="53" t="s">
        <v>13</v>
      </c>
      <c r="D110" s="17">
        <v>10000</v>
      </c>
      <c r="E110" s="14">
        <v>0.05</v>
      </c>
      <c r="F110" s="18"/>
      <c r="G110" s="10">
        <f t="shared" si="5"/>
        <v>1</v>
      </c>
      <c r="H110" s="11">
        <f>1/3</f>
        <v>0.33333333333333331</v>
      </c>
      <c r="I110" s="11"/>
      <c r="J110" s="11">
        <f>1/3</f>
        <v>0.33333333333333331</v>
      </c>
      <c r="K110" s="11"/>
      <c r="L110" s="11">
        <f>1/3</f>
        <v>0.33333333333333331</v>
      </c>
      <c r="M110" s="11"/>
      <c r="N110" s="11"/>
      <c r="O110" s="11"/>
      <c r="P110" s="11"/>
      <c r="Q110" s="11"/>
      <c r="R110" s="11"/>
      <c r="S110" s="11"/>
      <c r="T110" s="16"/>
      <c r="U110" s="22"/>
      <c r="V110" s="16"/>
    </row>
    <row r="111" spans="1:22" x14ac:dyDescent="0.25">
      <c r="A111" s="16"/>
      <c r="B111" s="19" t="s">
        <v>68</v>
      </c>
      <c r="C111" s="53" t="s">
        <v>13</v>
      </c>
      <c r="D111" s="17">
        <v>100000</v>
      </c>
      <c r="E111" s="14">
        <v>0</v>
      </c>
      <c r="F111" s="18"/>
      <c r="G111" s="10">
        <f t="shared" si="5"/>
        <v>1</v>
      </c>
      <c r="H111" s="11">
        <f>1/3</f>
        <v>0.33333333333333331</v>
      </c>
      <c r="I111" s="11"/>
      <c r="J111" s="11">
        <f>1/3</f>
        <v>0.33333333333333331</v>
      </c>
      <c r="K111" s="11"/>
      <c r="L111" s="11">
        <f>1/3</f>
        <v>0.33333333333333331</v>
      </c>
      <c r="M111" s="11"/>
      <c r="N111" s="11"/>
      <c r="O111" s="11"/>
      <c r="P111" s="11"/>
      <c r="Q111" s="11"/>
      <c r="R111" s="11"/>
      <c r="S111" s="11"/>
      <c r="T111" s="16"/>
      <c r="U111" s="22"/>
      <c r="V111" s="16"/>
    </row>
    <row r="112" spans="1:22" x14ac:dyDescent="0.25">
      <c r="A112" s="16"/>
      <c r="B112" s="19" t="s">
        <v>66</v>
      </c>
      <c r="C112" s="53" t="s">
        <v>13</v>
      </c>
      <c r="D112" s="17">
        <v>10000</v>
      </c>
      <c r="E112" s="14">
        <v>0</v>
      </c>
      <c r="F112" s="18"/>
      <c r="G112" s="10">
        <f t="shared" si="5"/>
        <v>1</v>
      </c>
      <c r="H112" s="11">
        <f>1/3</f>
        <v>0.33333333333333331</v>
      </c>
      <c r="I112" s="11"/>
      <c r="J112" s="11">
        <f>1/3</f>
        <v>0.33333333333333331</v>
      </c>
      <c r="K112" s="11"/>
      <c r="L112" s="11">
        <f>1/3</f>
        <v>0.33333333333333331</v>
      </c>
      <c r="M112" s="11"/>
      <c r="N112" s="11"/>
      <c r="O112" s="11"/>
      <c r="P112" s="11"/>
      <c r="Q112" s="11"/>
      <c r="R112" s="11"/>
      <c r="S112" s="11"/>
      <c r="T112" s="16"/>
      <c r="U112" s="22"/>
      <c r="V112" s="16"/>
    </row>
    <row r="113" spans="1:22" x14ac:dyDescent="0.25">
      <c r="A113" s="16"/>
      <c r="B113" s="19" t="s">
        <v>81</v>
      </c>
      <c r="C113" s="53" t="s">
        <v>13</v>
      </c>
      <c r="D113" s="17">
        <v>10000</v>
      </c>
      <c r="E113" s="14">
        <v>0</v>
      </c>
      <c r="F113" s="18"/>
      <c r="G113" s="10">
        <f t="shared" si="5"/>
        <v>1</v>
      </c>
      <c r="H113" s="11">
        <f>1/3</f>
        <v>0.33333333333333331</v>
      </c>
      <c r="I113" s="11"/>
      <c r="J113" s="11">
        <f>1/3</f>
        <v>0.33333333333333331</v>
      </c>
      <c r="K113" s="11"/>
      <c r="L113" s="11">
        <f>1/3</f>
        <v>0.33333333333333331</v>
      </c>
      <c r="M113" s="11"/>
      <c r="N113" s="11"/>
      <c r="O113" s="11"/>
      <c r="P113" s="11"/>
      <c r="Q113" s="11"/>
      <c r="R113" s="11"/>
      <c r="S113" s="11"/>
      <c r="T113" s="16"/>
      <c r="U113" s="22"/>
      <c r="V113" s="16"/>
    </row>
    <row r="114" spans="1:22" x14ac:dyDescent="0.25">
      <c r="A114" s="16"/>
      <c r="B114" s="19" t="s">
        <v>70</v>
      </c>
      <c r="C114" s="53" t="s">
        <v>13</v>
      </c>
      <c r="D114" s="17">
        <v>10000</v>
      </c>
      <c r="E114" s="14">
        <v>0</v>
      </c>
      <c r="F114" s="18"/>
      <c r="G114" s="10">
        <f t="shared" si="5"/>
        <v>1</v>
      </c>
      <c r="H114" s="11">
        <f>1/5</f>
        <v>0.2</v>
      </c>
      <c r="I114" s="11">
        <f t="shared" ref="I114:L114" si="7">1/5</f>
        <v>0.2</v>
      </c>
      <c r="J114" s="11">
        <f t="shared" si="7"/>
        <v>0.2</v>
      </c>
      <c r="K114" s="11">
        <f t="shared" si="7"/>
        <v>0.2</v>
      </c>
      <c r="L114" s="11">
        <f t="shared" si="7"/>
        <v>0.2</v>
      </c>
      <c r="M114" s="11"/>
      <c r="N114" s="11"/>
      <c r="O114" s="11"/>
      <c r="P114" s="11"/>
      <c r="Q114" s="11"/>
      <c r="R114" s="11"/>
      <c r="S114" s="11"/>
      <c r="T114" s="16"/>
      <c r="U114" s="22"/>
      <c r="V114" s="16"/>
    </row>
    <row r="115" spans="1:22" x14ac:dyDescent="0.25">
      <c r="A115" s="16"/>
      <c r="B115" s="19" t="s">
        <v>73</v>
      </c>
      <c r="C115" s="53" t="s">
        <v>13</v>
      </c>
      <c r="D115" s="17">
        <v>10000</v>
      </c>
      <c r="E115" s="14">
        <v>0</v>
      </c>
      <c r="F115" s="18"/>
      <c r="G115" s="10">
        <f t="shared" si="5"/>
        <v>1</v>
      </c>
      <c r="H115" s="11">
        <f>1/3</f>
        <v>0.33333333333333331</v>
      </c>
      <c r="I115" s="11"/>
      <c r="J115" s="11">
        <f>1/3</f>
        <v>0.33333333333333331</v>
      </c>
      <c r="K115" s="11"/>
      <c r="L115" s="11">
        <f>1/3</f>
        <v>0.33333333333333331</v>
      </c>
      <c r="M115" s="11"/>
      <c r="N115" s="11"/>
      <c r="O115" s="11"/>
      <c r="P115" s="11"/>
      <c r="Q115" s="11"/>
      <c r="R115" s="11"/>
      <c r="S115" s="11"/>
      <c r="T115" s="16"/>
      <c r="U115" s="22"/>
      <c r="V115" s="16"/>
    </row>
    <row r="116" spans="1:22" x14ac:dyDescent="0.25">
      <c r="A116" s="16"/>
      <c r="B116" s="19" t="s">
        <v>76</v>
      </c>
      <c r="C116" s="53" t="s">
        <v>13</v>
      </c>
      <c r="D116" s="17">
        <v>10000</v>
      </c>
      <c r="E116" s="14">
        <v>0</v>
      </c>
      <c r="F116" s="18"/>
      <c r="G116" s="10">
        <f t="shared" si="5"/>
        <v>1</v>
      </c>
      <c r="H116" s="11">
        <f>1/3</f>
        <v>0.33333333333333331</v>
      </c>
      <c r="I116" s="11"/>
      <c r="J116" s="11">
        <f>1/3</f>
        <v>0.33333333333333331</v>
      </c>
      <c r="K116" s="11"/>
      <c r="L116" s="11">
        <f>1/3</f>
        <v>0.33333333333333331</v>
      </c>
      <c r="M116" s="11"/>
      <c r="N116" s="11"/>
      <c r="O116" s="11"/>
      <c r="P116" s="11"/>
      <c r="Q116" s="11"/>
      <c r="R116" s="11"/>
      <c r="S116" s="11"/>
      <c r="T116" s="16"/>
      <c r="U116" s="22"/>
      <c r="V116" s="16"/>
    </row>
    <row r="117" spans="1:22" x14ac:dyDescent="0.25">
      <c r="A117" s="16"/>
      <c r="B117" s="19" t="s">
        <v>77</v>
      </c>
      <c r="C117" s="53" t="s">
        <v>13</v>
      </c>
      <c r="D117" s="17">
        <v>25000</v>
      </c>
      <c r="E117" s="14">
        <v>0</v>
      </c>
      <c r="F117" s="18"/>
      <c r="G117" s="10">
        <f t="shared" si="5"/>
        <v>1</v>
      </c>
      <c r="H117" s="11">
        <f>1/3</f>
        <v>0.33333333333333331</v>
      </c>
      <c r="I117" s="11"/>
      <c r="J117" s="11">
        <f>1/3</f>
        <v>0.33333333333333331</v>
      </c>
      <c r="K117" s="11"/>
      <c r="L117" s="11">
        <f>1/3</f>
        <v>0.33333333333333331</v>
      </c>
      <c r="M117" s="11"/>
      <c r="N117" s="11"/>
      <c r="O117" s="11"/>
      <c r="P117" s="11"/>
      <c r="Q117" s="11"/>
      <c r="R117" s="11"/>
      <c r="S117" s="11"/>
      <c r="T117" s="16"/>
      <c r="U117" s="22"/>
      <c r="V117" s="16"/>
    </row>
    <row r="118" spans="1:22" x14ac:dyDescent="0.25">
      <c r="A118" s="16"/>
      <c r="B118" s="49" t="str">
        <f>$B$20</f>
        <v>на данный момент конкретное мероприятие не определено</v>
      </c>
      <c r="C118" s="53" t="s">
        <v>12</v>
      </c>
      <c r="D118" s="17"/>
      <c r="E118" s="14"/>
      <c r="F118" s="18"/>
      <c r="G118" s="10">
        <f t="shared" si="5"/>
        <v>1</v>
      </c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6"/>
      <c r="U118" s="22"/>
      <c r="V118" s="16"/>
    </row>
    <row r="119" spans="1:22" x14ac:dyDescent="0.25">
      <c r="A119" s="16"/>
      <c r="B119" s="19" t="s">
        <v>151</v>
      </c>
      <c r="C119" s="53" t="s">
        <v>12</v>
      </c>
      <c r="D119" s="17"/>
      <c r="E119" s="14"/>
      <c r="F119" s="18"/>
      <c r="G119" s="10">
        <f t="shared" si="5"/>
        <v>1</v>
      </c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6"/>
      <c r="U119" s="22"/>
      <c r="V119" s="16"/>
    </row>
    <row r="120" spans="1:22" x14ac:dyDescent="0.25">
      <c r="A120" s="16"/>
      <c r="B120" s="19"/>
      <c r="C120" s="16"/>
      <c r="D120" s="16"/>
      <c r="E120" s="16"/>
      <c r="F120" s="16"/>
      <c r="G120" s="10">
        <f t="shared" si="5"/>
        <v>1</v>
      </c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22"/>
      <c r="V120" s="16"/>
    </row>
    <row r="121" spans="1:22" x14ac:dyDescent="0.25">
      <c r="A121" s="16"/>
      <c r="B121" s="45" t="s">
        <v>109</v>
      </c>
      <c r="C121" s="22"/>
      <c r="D121" s="22"/>
      <c r="E121" s="40"/>
      <c r="F121" s="22"/>
      <c r="G121" s="10">
        <f t="shared" si="5"/>
        <v>1</v>
      </c>
      <c r="H121" s="41">
        <v>1</v>
      </c>
      <c r="I121" s="41">
        <v>2</v>
      </c>
      <c r="J121" s="41">
        <v>3</v>
      </c>
      <c r="K121" s="41">
        <v>4</v>
      </c>
      <c r="L121" s="41">
        <v>5</v>
      </c>
      <c r="M121" s="41">
        <v>6</v>
      </c>
      <c r="N121" s="41">
        <v>7</v>
      </c>
      <c r="O121" s="41">
        <v>8</v>
      </c>
      <c r="P121" s="41">
        <v>9</v>
      </c>
      <c r="Q121" s="41">
        <v>10</v>
      </c>
      <c r="R121" s="41">
        <v>11</v>
      </c>
      <c r="S121" s="41">
        <v>12</v>
      </c>
      <c r="T121" s="16"/>
      <c r="U121" s="22"/>
      <c r="V121" s="16"/>
    </row>
    <row r="122" spans="1:22" x14ac:dyDescent="0.25">
      <c r="A122" s="16"/>
      <c r="B122" s="54" t="s">
        <v>110</v>
      </c>
      <c r="C122" s="55" t="s">
        <v>12</v>
      </c>
      <c r="D122" s="56"/>
      <c r="E122" s="57"/>
      <c r="F122" s="58"/>
      <c r="G122" s="10">
        <f t="shared" si="5"/>
        <v>1</v>
      </c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6"/>
      <c r="U122" s="22"/>
      <c r="V122" s="16"/>
    </row>
    <row r="123" spans="1:22" x14ac:dyDescent="0.25">
      <c r="A123" s="16"/>
      <c r="B123" s="19" t="s">
        <v>111</v>
      </c>
      <c r="C123" s="53" t="s">
        <v>12</v>
      </c>
      <c r="D123" s="17">
        <v>2106000</v>
      </c>
      <c r="E123" s="14">
        <v>0</v>
      </c>
      <c r="F123" s="18"/>
      <c r="G123" s="10">
        <f t="shared" si="5"/>
        <v>1</v>
      </c>
      <c r="H123" s="11">
        <f>1/3</f>
        <v>0.33333333333333331</v>
      </c>
      <c r="I123" s="11"/>
      <c r="J123" s="11">
        <f>1/3</f>
        <v>0.33333333333333331</v>
      </c>
      <c r="K123" s="11"/>
      <c r="L123" s="11">
        <f>1/3</f>
        <v>0.33333333333333331</v>
      </c>
      <c r="M123" s="11"/>
      <c r="N123" s="11"/>
      <c r="O123" s="11"/>
      <c r="P123" s="11"/>
      <c r="Q123" s="11"/>
      <c r="R123" s="11"/>
      <c r="S123" s="11"/>
      <c r="T123" s="16"/>
      <c r="U123" s="22"/>
      <c r="V123" s="16"/>
    </row>
    <row r="124" spans="1:22" x14ac:dyDescent="0.25">
      <c r="A124" s="16"/>
      <c r="B124" s="49" t="str">
        <f>$B$20</f>
        <v>на данный момент конкретное мероприятие не определено</v>
      </c>
      <c r="C124" s="53" t="s">
        <v>12</v>
      </c>
      <c r="D124" s="17"/>
      <c r="E124" s="14"/>
      <c r="F124" s="18"/>
      <c r="G124" s="10">
        <f t="shared" si="5"/>
        <v>1</v>
      </c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6"/>
      <c r="U124" s="22"/>
      <c r="V124" s="16"/>
    </row>
    <row r="125" spans="1:22" x14ac:dyDescent="0.25">
      <c r="A125" s="16"/>
      <c r="B125" s="19" t="s">
        <v>151</v>
      </c>
      <c r="C125" s="53" t="s">
        <v>12</v>
      </c>
      <c r="D125" s="17"/>
      <c r="E125" s="14"/>
      <c r="F125" s="18"/>
      <c r="G125" s="10">
        <f t="shared" si="5"/>
        <v>1</v>
      </c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6"/>
      <c r="U125" s="22"/>
      <c r="V125" s="16"/>
    </row>
    <row r="126" spans="1:22" x14ac:dyDescent="0.25">
      <c r="A126" s="16"/>
      <c r="B126" s="19"/>
      <c r="C126" s="16"/>
      <c r="D126" s="16"/>
      <c r="E126" s="16"/>
      <c r="F126" s="16"/>
      <c r="G126" s="10">
        <f t="shared" si="5"/>
        <v>1</v>
      </c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22"/>
      <c r="V126" s="16"/>
    </row>
    <row r="127" spans="1:22" x14ac:dyDescent="0.25">
      <c r="B127" s="45" t="s">
        <v>33</v>
      </c>
      <c r="C127" s="22"/>
      <c r="D127" s="22"/>
      <c r="E127" s="40"/>
      <c r="F127" s="22"/>
      <c r="G127" s="10">
        <f t="shared" si="5"/>
        <v>1</v>
      </c>
      <c r="H127" s="41">
        <v>1</v>
      </c>
      <c r="I127" s="41">
        <v>2</v>
      </c>
      <c r="J127" s="41">
        <v>3</v>
      </c>
      <c r="K127" s="41">
        <v>4</v>
      </c>
      <c r="L127" s="41">
        <v>5</v>
      </c>
      <c r="M127" s="41">
        <v>6</v>
      </c>
      <c r="N127" s="41">
        <v>7</v>
      </c>
      <c r="O127" s="41">
        <v>8</v>
      </c>
      <c r="P127" s="41">
        <v>9</v>
      </c>
      <c r="Q127" s="41">
        <v>10</v>
      </c>
      <c r="R127" s="41">
        <v>11</v>
      </c>
      <c r="S127" s="41">
        <v>12</v>
      </c>
      <c r="U127" s="22"/>
    </row>
    <row r="128" spans="1:22" x14ac:dyDescent="0.25">
      <c r="B128" s="54" t="s">
        <v>99</v>
      </c>
      <c r="C128" s="55" t="s">
        <v>12</v>
      </c>
      <c r="D128" s="56"/>
      <c r="E128" s="57"/>
      <c r="F128" s="58"/>
      <c r="G128" s="10">
        <f t="shared" si="5"/>
        <v>1</v>
      </c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U128" s="22"/>
    </row>
    <row r="129" spans="2:21" x14ac:dyDescent="0.25">
      <c r="B129" s="19" t="s">
        <v>100</v>
      </c>
      <c r="C129" s="53" t="s">
        <v>14</v>
      </c>
      <c r="D129" s="17">
        <v>500</v>
      </c>
      <c r="E129" s="14">
        <v>0</v>
      </c>
      <c r="F129" s="18"/>
      <c r="G129" s="10">
        <f t="shared" si="5"/>
        <v>0.99999999999999989</v>
      </c>
      <c r="H129" s="11">
        <f>1/6</f>
        <v>0.16666666666666666</v>
      </c>
      <c r="I129" s="11">
        <f t="shared" ref="I129:M129" si="8">1/6</f>
        <v>0.16666666666666666</v>
      </c>
      <c r="J129" s="11">
        <f t="shared" si="8"/>
        <v>0.16666666666666666</v>
      </c>
      <c r="K129" s="11">
        <f t="shared" si="8"/>
        <v>0.16666666666666666</v>
      </c>
      <c r="L129" s="11">
        <f t="shared" si="8"/>
        <v>0.16666666666666666</v>
      </c>
      <c r="M129" s="11">
        <f t="shared" si="8"/>
        <v>0.16666666666666666</v>
      </c>
      <c r="N129" s="11"/>
      <c r="O129" s="11"/>
      <c r="P129" s="11"/>
      <c r="Q129" s="11"/>
      <c r="R129" s="11"/>
      <c r="S129" s="11"/>
      <c r="U129" s="22"/>
    </row>
    <row r="130" spans="2:21" x14ac:dyDescent="0.25">
      <c r="B130" s="19" t="s">
        <v>112</v>
      </c>
      <c r="C130" s="53" t="s">
        <v>12</v>
      </c>
      <c r="D130" s="17"/>
      <c r="E130" s="14"/>
      <c r="F130" s="18"/>
      <c r="G130" s="10">
        <f t="shared" si="5"/>
        <v>1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U130" s="22"/>
    </row>
    <row r="131" spans="2:21" x14ac:dyDescent="0.25">
      <c r="B131" s="19" t="s">
        <v>101</v>
      </c>
      <c r="C131" s="53" t="s">
        <v>14</v>
      </c>
      <c r="D131" s="17">
        <v>1000</v>
      </c>
      <c r="E131" s="14">
        <v>0.2</v>
      </c>
      <c r="F131" s="18"/>
      <c r="G131" s="10">
        <f t="shared" si="5"/>
        <v>0.99999999999999989</v>
      </c>
      <c r="H131" s="11">
        <f>1/6</f>
        <v>0.16666666666666666</v>
      </c>
      <c r="I131" s="11">
        <f t="shared" ref="I131:M131" si="9">1/6</f>
        <v>0.16666666666666666</v>
      </c>
      <c r="J131" s="11">
        <f t="shared" si="9"/>
        <v>0.16666666666666666</v>
      </c>
      <c r="K131" s="11">
        <f t="shared" si="9"/>
        <v>0.16666666666666666</v>
      </c>
      <c r="L131" s="11">
        <f t="shared" si="9"/>
        <v>0.16666666666666666</v>
      </c>
      <c r="M131" s="11">
        <f t="shared" si="9"/>
        <v>0.16666666666666666</v>
      </c>
      <c r="N131" s="11"/>
      <c r="O131" s="11"/>
      <c r="P131" s="11"/>
      <c r="Q131" s="11"/>
      <c r="R131" s="11"/>
      <c r="S131" s="11"/>
      <c r="U131" s="22"/>
    </row>
    <row r="132" spans="2:21" x14ac:dyDescent="0.25">
      <c r="B132" s="19" t="s">
        <v>103</v>
      </c>
      <c r="C132" s="53" t="s">
        <v>14</v>
      </c>
      <c r="D132" s="17">
        <v>800</v>
      </c>
      <c r="E132" s="14">
        <v>0.2</v>
      </c>
      <c r="F132" s="18"/>
      <c r="G132" s="10">
        <f t="shared" si="5"/>
        <v>1</v>
      </c>
      <c r="H132" s="11"/>
      <c r="I132" s="11"/>
      <c r="J132" s="11"/>
      <c r="K132" s="11"/>
      <c r="L132" s="11">
        <v>0.5</v>
      </c>
      <c r="M132" s="11">
        <v>0.5</v>
      </c>
      <c r="N132" s="11"/>
      <c r="O132" s="11"/>
      <c r="P132" s="11"/>
      <c r="Q132" s="11"/>
      <c r="R132" s="11"/>
      <c r="S132" s="11"/>
      <c r="U132" s="22"/>
    </row>
    <row r="133" spans="2:21" x14ac:dyDescent="0.25">
      <c r="B133" s="19" t="s">
        <v>106</v>
      </c>
      <c r="C133" s="53" t="s">
        <v>12</v>
      </c>
      <c r="D133" s="17"/>
      <c r="E133" s="14"/>
      <c r="F133" s="18"/>
      <c r="G133" s="10">
        <f t="shared" si="5"/>
        <v>1</v>
      </c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U133" s="22"/>
    </row>
    <row r="134" spans="2:21" x14ac:dyDescent="0.25">
      <c r="B134" s="19" t="s">
        <v>104</v>
      </c>
      <c r="C134" s="53" t="s">
        <v>14</v>
      </c>
      <c r="D134" s="17">
        <v>100</v>
      </c>
      <c r="E134" s="14">
        <v>0.2</v>
      </c>
      <c r="F134" s="18"/>
      <c r="G134" s="10">
        <f t="shared" si="5"/>
        <v>1</v>
      </c>
      <c r="H134" s="11"/>
      <c r="I134" s="11"/>
      <c r="J134" s="11"/>
      <c r="K134" s="11"/>
      <c r="L134" s="11"/>
      <c r="M134" s="11">
        <v>1</v>
      </c>
      <c r="N134" s="11"/>
      <c r="O134" s="11"/>
      <c r="P134" s="11"/>
      <c r="Q134" s="11"/>
      <c r="R134" s="11"/>
      <c r="S134" s="11"/>
      <c r="U134" s="22"/>
    </row>
    <row r="135" spans="2:21" x14ac:dyDescent="0.25">
      <c r="B135" s="19" t="s">
        <v>102</v>
      </c>
      <c r="C135" s="53" t="s">
        <v>14</v>
      </c>
      <c r="D135" s="17">
        <v>100</v>
      </c>
      <c r="E135" s="14">
        <v>0.2</v>
      </c>
      <c r="F135" s="18"/>
      <c r="G135" s="10">
        <f t="shared" si="5"/>
        <v>1</v>
      </c>
      <c r="H135" s="11"/>
      <c r="I135" s="11"/>
      <c r="J135" s="11"/>
      <c r="K135" s="11"/>
      <c r="L135" s="11"/>
      <c r="M135" s="11">
        <v>1</v>
      </c>
      <c r="N135" s="11"/>
      <c r="O135" s="11"/>
      <c r="P135" s="11"/>
      <c r="Q135" s="11"/>
      <c r="R135" s="11"/>
      <c r="S135" s="11"/>
      <c r="U135" s="22"/>
    </row>
    <row r="136" spans="2:21" x14ac:dyDescent="0.25">
      <c r="B136" s="19" t="s">
        <v>105</v>
      </c>
      <c r="C136" s="53" t="s">
        <v>14</v>
      </c>
      <c r="D136" s="17">
        <v>500</v>
      </c>
      <c r="E136" s="14">
        <v>0</v>
      </c>
      <c r="F136" s="18"/>
      <c r="G136" s="10">
        <f t="shared" si="5"/>
        <v>1</v>
      </c>
      <c r="H136" s="11"/>
      <c r="I136" s="11"/>
      <c r="J136" s="11">
        <v>0.25</v>
      </c>
      <c r="K136" s="11">
        <v>0.25</v>
      </c>
      <c r="L136" s="11">
        <v>0.25</v>
      </c>
      <c r="M136" s="11">
        <v>0.25</v>
      </c>
      <c r="N136" s="11"/>
      <c r="O136" s="11"/>
      <c r="P136" s="11"/>
      <c r="Q136" s="11"/>
      <c r="R136" s="11"/>
      <c r="S136" s="11"/>
      <c r="U136" s="22"/>
    </row>
    <row r="137" spans="2:21" x14ac:dyDescent="0.25">
      <c r="B137" s="49" t="str">
        <f>$B$20</f>
        <v>на данный момент конкретное мероприятие не определено</v>
      </c>
      <c r="C137" s="53" t="s">
        <v>12</v>
      </c>
      <c r="D137" s="17"/>
      <c r="E137" s="14"/>
      <c r="F137" s="18"/>
      <c r="G137" s="10">
        <f t="shared" si="5"/>
        <v>1</v>
      </c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U137" s="22"/>
    </row>
    <row r="138" spans="2:21" x14ac:dyDescent="0.25">
      <c r="B138" s="19" t="s">
        <v>151</v>
      </c>
      <c r="C138" s="53" t="s">
        <v>12</v>
      </c>
      <c r="D138" s="17"/>
      <c r="E138" s="14"/>
      <c r="F138" s="18"/>
      <c r="G138" s="10">
        <f t="shared" si="5"/>
        <v>1</v>
      </c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U138" s="22"/>
    </row>
    <row r="139" spans="2:21" x14ac:dyDescent="0.25">
      <c r="B139" s="19"/>
      <c r="G139" s="10">
        <f t="shared" si="5"/>
        <v>1</v>
      </c>
      <c r="U139" s="22"/>
    </row>
    <row r="140" spans="2:21" x14ac:dyDescent="0.25">
      <c r="B140" s="45" t="s">
        <v>20</v>
      </c>
      <c r="C140" s="22"/>
      <c r="D140" s="22"/>
      <c r="E140" s="40"/>
      <c r="F140" s="22"/>
      <c r="G140" s="10">
        <f t="shared" si="5"/>
        <v>1</v>
      </c>
      <c r="H140" s="41">
        <v>1</v>
      </c>
      <c r="I140" s="41">
        <v>2</v>
      </c>
      <c r="J140" s="41">
        <v>3</v>
      </c>
      <c r="K140" s="41">
        <v>4</v>
      </c>
      <c r="L140" s="41">
        <v>5</v>
      </c>
      <c r="M140" s="41">
        <v>6</v>
      </c>
      <c r="N140" s="41">
        <v>7</v>
      </c>
      <c r="O140" s="41">
        <v>8</v>
      </c>
      <c r="P140" s="41">
        <v>9</v>
      </c>
      <c r="Q140" s="41">
        <v>10</v>
      </c>
      <c r="R140" s="41">
        <v>11</v>
      </c>
      <c r="S140" s="41">
        <v>12</v>
      </c>
      <c r="U140" s="22"/>
    </row>
    <row r="141" spans="2:21" x14ac:dyDescent="0.25">
      <c r="B141" s="54" t="s">
        <v>115</v>
      </c>
      <c r="C141" s="55" t="s">
        <v>12</v>
      </c>
      <c r="D141" s="56">
        <v>500000</v>
      </c>
      <c r="E141" s="57">
        <v>0.2</v>
      </c>
      <c r="F141" s="58"/>
      <c r="G141" s="10">
        <f t="shared" si="5"/>
        <v>1</v>
      </c>
      <c r="H141" s="11">
        <f>1/3</f>
        <v>0.33333333333333331</v>
      </c>
      <c r="I141" s="11"/>
      <c r="J141" s="11">
        <f>1/3</f>
        <v>0.33333333333333331</v>
      </c>
      <c r="K141" s="11"/>
      <c r="L141" s="11">
        <f>1/3</f>
        <v>0.33333333333333331</v>
      </c>
      <c r="M141" s="11"/>
      <c r="N141" s="11"/>
      <c r="O141" s="11"/>
      <c r="P141" s="11"/>
      <c r="Q141" s="11"/>
      <c r="R141" s="11"/>
      <c r="S141" s="11"/>
      <c r="U141" s="22"/>
    </row>
    <row r="142" spans="2:21" x14ac:dyDescent="0.25">
      <c r="B142" s="19" t="s">
        <v>113</v>
      </c>
      <c r="C142" s="53" t="s">
        <v>12</v>
      </c>
      <c r="D142" s="17"/>
      <c r="E142" s="14"/>
      <c r="F142" s="18"/>
      <c r="G142" s="10">
        <f t="shared" si="5"/>
        <v>1</v>
      </c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U142" s="22"/>
    </row>
    <row r="143" spans="2:21" x14ac:dyDescent="0.25">
      <c r="B143" s="19" t="s">
        <v>114</v>
      </c>
      <c r="C143" s="53" t="s">
        <v>12</v>
      </c>
      <c r="D143" s="17">
        <v>500000</v>
      </c>
      <c r="E143" s="14">
        <v>0.2</v>
      </c>
      <c r="F143" s="18"/>
      <c r="G143" s="10">
        <f t="shared" si="5"/>
        <v>1</v>
      </c>
      <c r="H143" s="11">
        <f>1/3</f>
        <v>0.33333333333333331</v>
      </c>
      <c r="I143" s="11"/>
      <c r="J143" s="11">
        <f>1/3</f>
        <v>0.33333333333333331</v>
      </c>
      <c r="K143" s="11"/>
      <c r="L143" s="11">
        <f>1/3</f>
        <v>0.33333333333333331</v>
      </c>
      <c r="M143" s="11"/>
      <c r="N143" s="11"/>
      <c r="O143" s="11"/>
      <c r="P143" s="11"/>
      <c r="Q143" s="11"/>
      <c r="R143" s="11"/>
      <c r="S143" s="11"/>
      <c r="U143" s="22"/>
    </row>
    <row r="144" spans="2:21" x14ac:dyDescent="0.25">
      <c r="B144" s="19" t="s">
        <v>116</v>
      </c>
      <c r="C144" s="53" t="s">
        <v>12</v>
      </c>
      <c r="D144" s="17">
        <v>500000</v>
      </c>
      <c r="E144" s="14">
        <v>0.2</v>
      </c>
      <c r="F144" s="18"/>
      <c r="G144" s="10">
        <f t="shared" si="5"/>
        <v>1</v>
      </c>
      <c r="H144" s="11"/>
      <c r="I144" s="11">
        <f>1/3</f>
        <v>0.33333333333333331</v>
      </c>
      <c r="J144" s="11"/>
      <c r="K144" s="11">
        <f>1/3</f>
        <v>0.33333333333333331</v>
      </c>
      <c r="L144" s="11"/>
      <c r="M144" s="11">
        <f>1/3</f>
        <v>0.33333333333333331</v>
      </c>
      <c r="N144" s="11"/>
      <c r="O144" s="11"/>
      <c r="P144" s="11"/>
      <c r="Q144" s="11"/>
      <c r="R144" s="11"/>
      <c r="S144" s="11"/>
      <c r="U144" s="22"/>
    </row>
    <row r="145" spans="1:22" x14ac:dyDescent="0.25">
      <c r="B145" s="19" t="s">
        <v>149</v>
      </c>
      <c r="C145" s="53" t="s">
        <v>12</v>
      </c>
      <c r="D145" s="17">
        <v>500000</v>
      </c>
      <c r="E145" s="14">
        <v>0.2</v>
      </c>
      <c r="F145" s="18"/>
      <c r="G145" s="10">
        <f t="shared" ref="G145:G182" si="10">IF($D145=0,1,SUM(H145:S145))</f>
        <v>1</v>
      </c>
      <c r="H145" s="11">
        <f>1/3</f>
        <v>0.33333333333333331</v>
      </c>
      <c r="I145" s="11"/>
      <c r="J145" s="11">
        <f>1/3</f>
        <v>0.33333333333333331</v>
      </c>
      <c r="K145" s="11"/>
      <c r="L145" s="11">
        <f>1/3</f>
        <v>0.33333333333333331</v>
      </c>
      <c r="M145" s="11"/>
      <c r="N145" s="11"/>
      <c r="O145" s="11"/>
      <c r="P145" s="11"/>
      <c r="Q145" s="11"/>
      <c r="R145" s="11"/>
      <c r="S145" s="11"/>
      <c r="U145" s="22"/>
    </row>
    <row r="146" spans="1:22" x14ac:dyDescent="0.25">
      <c r="B146" s="49" t="str">
        <f>$B$20</f>
        <v>на данный момент конкретное мероприятие не определено</v>
      </c>
      <c r="C146" s="53" t="s">
        <v>12</v>
      </c>
      <c r="D146" s="17"/>
      <c r="E146" s="14"/>
      <c r="F146" s="18"/>
      <c r="G146" s="10">
        <f t="shared" si="10"/>
        <v>1</v>
      </c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U146" s="22"/>
    </row>
    <row r="147" spans="1:22" x14ac:dyDescent="0.25">
      <c r="B147" s="19" t="s">
        <v>151</v>
      </c>
      <c r="C147" s="53" t="s">
        <v>12</v>
      </c>
      <c r="D147" s="17"/>
      <c r="E147" s="14"/>
      <c r="F147" s="18"/>
      <c r="G147" s="10">
        <f t="shared" si="10"/>
        <v>1</v>
      </c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U147" s="22"/>
    </row>
    <row r="148" spans="1:22" x14ac:dyDescent="0.25">
      <c r="B148" s="19"/>
      <c r="G148" s="10">
        <f t="shared" si="10"/>
        <v>1</v>
      </c>
      <c r="U148" s="22"/>
    </row>
    <row r="149" spans="1:22" x14ac:dyDescent="0.25">
      <c r="B149" s="45" t="s">
        <v>134</v>
      </c>
      <c r="C149" s="22"/>
      <c r="D149" s="22"/>
      <c r="E149" s="40"/>
      <c r="F149" s="22"/>
      <c r="G149" s="10">
        <f t="shared" si="10"/>
        <v>1</v>
      </c>
      <c r="H149" s="41">
        <v>1</v>
      </c>
      <c r="I149" s="41">
        <v>2</v>
      </c>
      <c r="J149" s="41">
        <v>3</v>
      </c>
      <c r="K149" s="41">
        <v>4</v>
      </c>
      <c r="L149" s="41">
        <v>5</v>
      </c>
      <c r="M149" s="41">
        <v>6</v>
      </c>
      <c r="N149" s="41">
        <v>7</v>
      </c>
      <c r="O149" s="41">
        <v>8</v>
      </c>
      <c r="P149" s="41">
        <v>9</v>
      </c>
      <c r="Q149" s="41">
        <v>10</v>
      </c>
      <c r="R149" s="41">
        <v>11</v>
      </c>
      <c r="S149" s="41">
        <v>12</v>
      </c>
      <c r="U149" s="22"/>
    </row>
    <row r="150" spans="1:22" x14ac:dyDescent="0.25">
      <c r="A150" s="16"/>
      <c r="B150" s="54" t="s">
        <v>107</v>
      </c>
      <c r="C150" s="55" t="s">
        <v>13</v>
      </c>
      <c r="D150" s="56">
        <v>5000</v>
      </c>
      <c r="E150" s="57">
        <v>0</v>
      </c>
      <c r="F150" s="58"/>
      <c r="G150" s="10">
        <f t="shared" si="10"/>
        <v>1</v>
      </c>
      <c r="H150" s="11">
        <v>1</v>
      </c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22"/>
      <c r="U150" s="22"/>
      <c r="V150" s="16"/>
    </row>
    <row r="151" spans="1:22" x14ac:dyDescent="0.25">
      <c r="A151" s="16"/>
      <c r="B151" s="19" t="s">
        <v>107</v>
      </c>
      <c r="C151" s="53" t="s">
        <v>13</v>
      </c>
      <c r="D151" s="17">
        <v>5000</v>
      </c>
      <c r="E151" s="28">
        <v>0</v>
      </c>
      <c r="F151" s="29"/>
      <c r="G151" s="10">
        <f t="shared" si="10"/>
        <v>1</v>
      </c>
      <c r="H151" s="11"/>
      <c r="I151" s="11"/>
      <c r="J151" s="11">
        <v>1</v>
      </c>
      <c r="K151" s="11"/>
      <c r="L151" s="11"/>
      <c r="M151" s="11"/>
      <c r="N151" s="11"/>
      <c r="O151" s="11"/>
      <c r="P151" s="11"/>
      <c r="Q151" s="11"/>
      <c r="R151" s="11"/>
      <c r="S151" s="11"/>
      <c r="T151" s="22"/>
      <c r="U151" s="22"/>
      <c r="V151" s="16"/>
    </row>
    <row r="152" spans="1:22" x14ac:dyDescent="0.25">
      <c r="A152" s="16"/>
      <c r="B152" s="19" t="s">
        <v>107</v>
      </c>
      <c r="C152" s="53" t="s">
        <v>13</v>
      </c>
      <c r="D152" s="17">
        <v>5000</v>
      </c>
      <c r="E152" s="28">
        <v>0</v>
      </c>
      <c r="F152" s="29"/>
      <c r="G152" s="10">
        <f t="shared" si="10"/>
        <v>1</v>
      </c>
      <c r="H152" s="11"/>
      <c r="I152" s="11"/>
      <c r="J152" s="11"/>
      <c r="K152" s="11"/>
      <c r="L152" s="11">
        <v>1</v>
      </c>
      <c r="M152" s="11"/>
      <c r="N152" s="11"/>
      <c r="O152" s="11"/>
      <c r="P152" s="11"/>
      <c r="Q152" s="11"/>
      <c r="R152" s="11"/>
      <c r="S152" s="11"/>
      <c r="T152" s="22"/>
      <c r="U152" s="22"/>
      <c r="V152" s="16"/>
    </row>
    <row r="153" spans="1:22" x14ac:dyDescent="0.25">
      <c r="A153" s="16"/>
      <c r="B153" s="49" t="str">
        <f>$B$20</f>
        <v>на данный момент конкретное мероприятие не определено</v>
      </c>
      <c r="C153" s="53" t="s">
        <v>12</v>
      </c>
      <c r="D153" s="17"/>
      <c r="E153" s="28"/>
      <c r="F153" s="29"/>
      <c r="G153" s="10">
        <f t="shared" si="10"/>
        <v>1</v>
      </c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22"/>
      <c r="U153" s="22"/>
      <c r="V153" s="16"/>
    </row>
    <row r="154" spans="1:22" x14ac:dyDescent="0.25">
      <c r="A154" s="16"/>
      <c r="B154" s="19" t="s">
        <v>151</v>
      </c>
      <c r="C154" s="53" t="s">
        <v>12</v>
      </c>
      <c r="D154" s="17"/>
      <c r="E154" s="14"/>
      <c r="F154" s="18"/>
      <c r="G154" s="10">
        <f t="shared" si="10"/>
        <v>1</v>
      </c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22"/>
      <c r="U154" s="22"/>
      <c r="V154" s="16"/>
    </row>
    <row r="155" spans="1:22" x14ac:dyDescent="0.25">
      <c r="G155" s="10">
        <f t="shared" si="10"/>
        <v>1</v>
      </c>
      <c r="U155" s="23"/>
    </row>
    <row r="156" spans="1:22" x14ac:dyDescent="0.25">
      <c r="B156" s="45" t="s">
        <v>54</v>
      </c>
      <c r="C156" s="22"/>
      <c r="D156" s="22"/>
      <c r="E156" s="40"/>
      <c r="F156" s="22"/>
      <c r="G156" s="10">
        <f t="shared" si="10"/>
        <v>1</v>
      </c>
      <c r="H156" s="41">
        <v>1</v>
      </c>
      <c r="I156" s="41">
        <v>2</v>
      </c>
      <c r="J156" s="41">
        <v>3</v>
      </c>
      <c r="K156" s="41">
        <v>4</v>
      </c>
      <c r="L156" s="41">
        <v>5</v>
      </c>
      <c r="M156" s="41">
        <v>6</v>
      </c>
      <c r="N156" s="41">
        <v>7</v>
      </c>
      <c r="O156" s="41">
        <v>8</v>
      </c>
      <c r="P156" s="41">
        <v>9</v>
      </c>
      <c r="Q156" s="41">
        <v>10</v>
      </c>
      <c r="R156" s="41">
        <v>11</v>
      </c>
      <c r="S156" s="41">
        <v>12</v>
      </c>
      <c r="U156" s="22"/>
    </row>
    <row r="157" spans="1:22" x14ac:dyDescent="0.25">
      <c r="B157" s="54" t="s">
        <v>128</v>
      </c>
      <c r="C157" s="55" t="s">
        <v>12</v>
      </c>
      <c r="D157" s="56"/>
      <c r="E157" s="57"/>
      <c r="F157" s="58"/>
      <c r="G157" s="10">
        <f t="shared" si="10"/>
        <v>1</v>
      </c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U157" s="22"/>
    </row>
    <row r="158" spans="1:22" x14ac:dyDescent="0.25">
      <c r="B158" s="19" t="s">
        <v>129</v>
      </c>
      <c r="C158" s="53" t="s">
        <v>12</v>
      </c>
      <c r="D158" s="17"/>
      <c r="E158" s="14"/>
      <c r="F158" s="18"/>
      <c r="G158" s="10">
        <f t="shared" si="10"/>
        <v>1</v>
      </c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U158" s="23"/>
    </row>
    <row r="159" spans="1:22" x14ac:dyDescent="0.25">
      <c r="B159" s="19" t="s">
        <v>130</v>
      </c>
      <c r="C159" s="53" t="s">
        <v>12</v>
      </c>
      <c r="D159" s="17"/>
      <c r="E159" s="14"/>
      <c r="F159" s="18"/>
      <c r="G159" s="10">
        <f t="shared" si="10"/>
        <v>1</v>
      </c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U159" s="22"/>
    </row>
    <row r="160" spans="1:22" x14ac:dyDescent="0.25">
      <c r="B160" s="19" t="s">
        <v>131</v>
      </c>
      <c r="C160" s="53" t="s">
        <v>12</v>
      </c>
      <c r="D160" s="17">
        <v>15000</v>
      </c>
      <c r="E160" s="14">
        <v>0.2</v>
      </c>
      <c r="F160" s="18"/>
      <c r="G160" s="10">
        <f t="shared" si="10"/>
        <v>1</v>
      </c>
      <c r="H160" s="11"/>
      <c r="I160" s="11"/>
      <c r="J160" s="11"/>
      <c r="K160" s="11"/>
      <c r="L160" s="11">
        <v>0.5</v>
      </c>
      <c r="M160" s="11">
        <v>0.5</v>
      </c>
      <c r="N160" s="11"/>
      <c r="O160" s="11"/>
      <c r="P160" s="11"/>
      <c r="Q160" s="11"/>
      <c r="R160" s="11"/>
      <c r="S160" s="11"/>
      <c r="U160" s="23"/>
    </row>
    <row r="161" spans="2:21" x14ac:dyDescent="0.25">
      <c r="B161" s="49" t="str">
        <f>$B$20</f>
        <v>на данный момент конкретное мероприятие не определено</v>
      </c>
      <c r="C161" s="53" t="s">
        <v>12</v>
      </c>
      <c r="D161" s="17"/>
      <c r="E161" s="14"/>
      <c r="F161" s="18"/>
      <c r="G161" s="10">
        <f t="shared" si="10"/>
        <v>1</v>
      </c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U161" s="23"/>
    </row>
    <row r="162" spans="2:21" x14ac:dyDescent="0.25">
      <c r="B162" s="19" t="s">
        <v>151</v>
      </c>
      <c r="C162" s="53" t="s">
        <v>12</v>
      </c>
      <c r="D162" s="17"/>
      <c r="E162" s="14"/>
      <c r="F162" s="18"/>
      <c r="G162" s="10">
        <f t="shared" si="10"/>
        <v>1</v>
      </c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2:21" x14ac:dyDescent="0.25">
      <c r="B163" s="19"/>
      <c r="G163" s="10">
        <f t="shared" si="10"/>
        <v>1</v>
      </c>
    </row>
    <row r="164" spans="2:21" x14ac:dyDescent="0.25">
      <c r="B164" s="45" t="s">
        <v>311</v>
      </c>
      <c r="C164" s="22"/>
      <c r="D164" s="22"/>
      <c r="E164" s="40"/>
      <c r="F164" s="22"/>
      <c r="G164" s="10">
        <f t="shared" si="10"/>
        <v>1</v>
      </c>
      <c r="H164" s="41">
        <v>1</v>
      </c>
      <c r="I164" s="41">
        <v>2</v>
      </c>
      <c r="J164" s="41">
        <v>3</v>
      </c>
      <c r="K164" s="41">
        <v>4</v>
      </c>
      <c r="L164" s="41">
        <v>5</v>
      </c>
      <c r="M164" s="41">
        <v>6</v>
      </c>
      <c r="N164" s="41">
        <v>7</v>
      </c>
      <c r="O164" s="41">
        <v>8</v>
      </c>
      <c r="P164" s="41">
        <v>9</v>
      </c>
      <c r="Q164" s="41">
        <v>10</v>
      </c>
      <c r="R164" s="41">
        <v>11</v>
      </c>
      <c r="S164" s="41">
        <v>12</v>
      </c>
      <c r="U164" s="22"/>
    </row>
    <row r="165" spans="2:21" x14ac:dyDescent="0.25">
      <c r="B165" s="54" t="s">
        <v>121</v>
      </c>
      <c r="C165" s="55" t="s">
        <v>12</v>
      </c>
      <c r="D165" s="56"/>
      <c r="E165" s="57"/>
      <c r="F165" s="58"/>
      <c r="G165" s="10">
        <f t="shared" si="10"/>
        <v>1</v>
      </c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U165" s="22"/>
    </row>
    <row r="166" spans="2:21" x14ac:dyDescent="0.25">
      <c r="B166" s="19" t="s">
        <v>126</v>
      </c>
      <c r="C166" s="53" t="s">
        <v>12</v>
      </c>
      <c r="D166" s="17"/>
      <c r="E166" s="14"/>
      <c r="F166" s="18"/>
      <c r="G166" s="10">
        <f t="shared" si="10"/>
        <v>1</v>
      </c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U166" s="22"/>
    </row>
    <row r="167" spans="2:21" x14ac:dyDescent="0.25">
      <c r="B167" s="19" t="s">
        <v>117</v>
      </c>
      <c r="C167" s="53" t="s">
        <v>14</v>
      </c>
      <c r="D167" s="17">
        <v>1000</v>
      </c>
      <c r="E167" s="14">
        <v>0</v>
      </c>
      <c r="F167" s="18"/>
      <c r="G167" s="10">
        <f t="shared" si="10"/>
        <v>1</v>
      </c>
      <c r="H167" s="11"/>
      <c r="I167" s="11"/>
      <c r="J167" s="11"/>
      <c r="K167" s="11"/>
      <c r="L167" s="11">
        <v>1</v>
      </c>
      <c r="M167" s="11"/>
      <c r="N167" s="11"/>
      <c r="O167" s="11"/>
      <c r="P167" s="11"/>
      <c r="Q167" s="11"/>
      <c r="R167" s="11"/>
      <c r="S167" s="11"/>
      <c r="U167" s="22"/>
    </row>
    <row r="168" spans="2:21" x14ac:dyDescent="0.25">
      <c r="B168" s="19" t="s">
        <v>125</v>
      </c>
      <c r="C168" s="53" t="s">
        <v>12</v>
      </c>
      <c r="D168" s="17"/>
      <c r="E168" s="14"/>
      <c r="F168" s="18"/>
      <c r="G168" s="10">
        <f t="shared" si="10"/>
        <v>1</v>
      </c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U168" s="22"/>
    </row>
    <row r="169" spans="2:21" x14ac:dyDescent="0.25">
      <c r="B169" s="19" t="s">
        <v>123</v>
      </c>
      <c r="C169" s="53" t="s">
        <v>12</v>
      </c>
      <c r="D169" s="17"/>
      <c r="E169" s="14"/>
      <c r="F169" s="18"/>
      <c r="G169" s="10">
        <f t="shared" si="10"/>
        <v>1</v>
      </c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U169" s="22"/>
    </row>
    <row r="170" spans="2:21" x14ac:dyDescent="0.25">
      <c r="B170" s="19" t="s">
        <v>118</v>
      </c>
      <c r="C170" s="53" t="s">
        <v>12</v>
      </c>
      <c r="D170" s="17"/>
      <c r="E170" s="14"/>
      <c r="F170" s="18"/>
      <c r="G170" s="10">
        <f t="shared" si="10"/>
        <v>1</v>
      </c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U170" s="22"/>
    </row>
    <row r="171" spans="2:21" x14ac:dyDescent="0.25">
      <c r="B171" s="19" t="s">
        <v>119</v>
      </c>
      <c r="C171" s="53" t="s">
        <v>14</v>
      </c>
      <c r="D171" s="17">
        <v>1000</v>
      </c>
      <c r="E171" s="14">
        <v>0</v>
      </c>
      <c r="F171" s="18"/>
      <c r="G171" s="10">
        <f t="shared" si="10"/>
        <v>1</v>
      </c>
      <c r="H171" s="11"/>
      <c r="I171" s="11"/>
      <c r="J171" s="11"/>
      <c r="K171" s="11"/>
      <c r="L171" s="11">
        <v>1</v>
      </c>
      <c r="M171" s="11"/>
      <c r="N171" s="11"/>
      <c r="O171" s="11"/>
      <c r="P171" s="11"/>
      <c r="Q171" s="11"/>
      <c r="R171" s="11"/>
      <c r="S171" s="11"/>
      <c r="U171" s="22"/>
    </row>
    <row r="172" spans="2:21" x14ac:dyDescent="0.25">
      <c r="B172" s="19" t="s">
        <v>124</v>
      </c>
      <c r="C172" s="53" t="s">
        <v>14</v>
      </c>
      <c r="D172" s="17">
        <v>500</v>
      </c>
      <c r="E172" s="14">
        <v>0</v>
      </c>
      <c r="F172" s="18"/>
      <c r="G172" s="10">
        <f t="shared" si="10"/>
        <v>1</v>
      </c>
      <c r="H172" s="11"/>
      <c r="I172" s="11"/>
      <c r="J172" s="11"/>
      <c r="K172" s="11"/>
      <c r="L172" s="11">
        <v>0.5</v>
      </c>
      <c r="M172" s="11">
        <v>0.5</v>
      </c>
      <c r="N172" s="11"/>
      <c r="O172" s="11"/>
      <c r="P172" s="11"/>
      <c r="Q172" s="11"/>
      <c r="R172" s="11"/>
      <c r="S172" s="11"/>
      <c r="U172" s="22"/>
    </row>
    <row r="173" spans="2:21" x14ac:dyDescent="0.25">
      <c r="B173" s="19" t="s">
        <v>122</v>
      </c>
      <c r="C173" s="53" t="s">
        <v>12</v>
      </c>
      <c r="D173" s="17"/>
      <c r="E173" s="14"/>
      <c r="F173" s="18"/>
      <c r="G173" s="10">
        <f t="shared" si="10"/>
        <v>1</v>
      </c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U173" s="22"/>
    </row>
    <row r="174" spans="2:21" x14ac:dyDescent="0.25">
      <c r="B174" s="19" t="s">
        <v>120</v>
      </c>
      <c r="C174" s="53" t="s">
        <v>12</v>
      </c>
      <c r="D174" s="17"/>
      <c r="E174" s="14"/>
      <c r="F174" s="18"/>
      <c r="G174" s="10">
        <f t="shared" si="10"/>
        <v>1</v>
      </c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U174" s="22"/>
    </row>
    <row r="175" spans="2:21" x14ac:dyDescent="0.25">
      <c r="B175" s="49" t="str">
        <f>$B$20</f>
        <v>на данный момент конкретное мероприятие не определено</v>
      </c>
      <c r="C175" s="53" t="s">
        <v>12</v>
      </c>
      <c r="D175" s="17"/>
      <c r="E175" s="14"/>
      <c r="F175" s="18"/>
      <c r="G175" s="10">
        <f t="shared" si="10"/>
        <v>1</v>
      </c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U175" s="22"/>
    </row>
    <row r="176" spans="2:21" x14ac:dyDescent="0.25">
      <c r="B176" s="19" t="s">
        <v>151</v>
      </c>
      <c r="C176" s="53" t="s">
        <v>12</v>
      </c>
      <c r="D176" s="17"/>
      <c r="E176" s="14"/>
      <c r="F176" s="18"/>
      <c r="G176" s="10">
        <f t="shared" si="10"/>
        <v>1</v>
      </c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U176" s="22"/>
    </row>
    <row r="177" spans="2:21" x14ac:dyDescent="0.25">
      <c r="G177" s="10">
        <f t="shared" si="10"/>
        <v>1</v>
      </c>
    </row>
    <row r="178" spans="2:21" x14ac:dyDescent="0.25">
      <c r="B178" s="45" t="s">
        <v>24</v>
      </c>
      <c r="C178" s="22"/>
      <c r="D178" s="22"/>
      <c r="E178" s="40"/>
      <c r="F178" s="22"/>
      <c r="G178" s="10">
        <f t="shared" si="10"/>
        <v>1</v>
      </c>
      <c r="H178" s="41">
        <v>1</v>
      </c>
      <c r="I178" s="41">
        <v>2</v>
      </c>
      <c r="J178" s="41">
        <v>3</v>
      </c>
      <c r="K178" s="41">
        <v>4</v>
      </c>
      <c r="L178" s="41">
        <v>5</v>
      </c>
      <c r="M178" s="41">
        <v>6</v>
      </c>
      <c r="N178" s="41">
        <v>7</v>
      </c>
      <c r="O178" s="41">
        <v>8</v>
      </c>
      <c r="P178" s="41">
        <v>9</v>
      </c>
      <c r="Q178" s="41">
        <v>10</v>
      </c>
      <c r="R178" s="41">
        <v>11</v>
      </c>
      <c r="S178" s="41">
        <v>12</v>
      </c>
    </row>
    <row r="179" spans="2:21" x14ac:dyDescent="0.25">
      <c r="B179" s="54" t="s">
        <v>34</v>
      </c>
      <c r="C179" s="55" t="s">
        <v>13</v>
      </c>
      <c r="D179" s="56">
        <v>500</v>
      </c>
      <c r="E179" s="57">
        <v>0</v>
      </c>
      <c r="F179" s="58"/>
      <c r="G179" s="10">
        <f>IF($D179=0,1,SUM(H179:S179))</f>
        <v>0.99999999999999978</v>
      </c>
      <c r="H179" s="11">
        <f>1/7</f>
        <v>0.14285714285714285</v>
      </c>
      <c r="I179" s="11">
        <f t="shared" ref="I179:N180" si="11">1/7</f>
        <v>0.14285714285714285</v>
      </c>
      <c r="J179" s="11">
        <f t="shared" si="11"/>
        <v>0.14285714285714285</v>
      </c>
      <c r="K179" s="11">
        <f t="shared" si="11"/>
        <v>0.14285714285714285</v>
      </c>
      <c r="L179" s="11">
        <f t="shared" si="11"/>
        <v>0.14285714285714285</v>
      </c>
      <c r="M179" s="11">
        <f t="shared" si="11"/>
        <v>0.14285714285714285</v>
      </c>
      <c r="N179" s="11">
        <f t="shared" si="11"/>
        <v>0.14285714285714285</v>
      </c>
      <c r="O179" s="11"/>
      <c r="P179" s="11"/>
      <c r="Q179" s="11"/>
      <c r="R179" s="11"/>
      <c r="S179" s="11"/>
      <c r="U179" s="22"/>
    </row>
    <row r="180" spans="2:21" x14ac:dyDescent="0.25">
      <c r="B180" s="19" t="s">
        <v>98</v>
      </c>
      <c r="C180" s="53" t="s">
        <v>13</v>
      </c>
      <c r="D180" s="17">
        <v>500</v>
      </c>
      <c r="E180" s="14">
        <v>0</v>
      </c>
      <c r="F180" s="18"/>
      <c r="G180" s="10">
        <f t="shared" si="10"/>
        <v>0.99999999999999978</v>
      </c>
      <c r="H180" s="11">
        <f>1/7</f>
        <v>0.14285714285714285</v>
      </c>
      <c r="I180" s="11">
        <f t="shared" si="11"/>
        <v>0.14285714285714285</v>
      </c>
      <c r="J180" s="11">
        <f t="shared" si="11"/>
        <v>0.14285714285714285</v>
      </c>
      <c r="K180" s="11">
        <f t="shared" si="11"/>
        <v>0.14285714285714285</v>
      </c>
      <c r="L180" s="11">
        <f t="shared" si="11"/>
        <v>0.14285714285714285</v>
      </c>
      <c r="M180" s="11">
        <f t="shared" si="11"/>
        <v>0.14285714285714285</v>
      </c>
      <c r="N180" s="11">
        <f t="shared" si="11"/>
        <v>0.14285714285714285</v>
      </c>
      <c r="O180" s="11"/>
      <c r="P180" s="11"/>
      <c r="Q180" s="11"/>
      <c r="R180" s="11"/>
      <c r="S180" s="11"/>
    </row>
    <row r="181" spans="2:21" x14ac:dyDescent="0.25">
      <c r="B181" s="49" t="str">
        <f>$B$20</f>
        <v>на данный момент конкретное мероприятие не определено</v>
      </c>
      <c r="C181" s="53" t="s">
        <v>12</v>
      </c>
      <c r="D181" s="17"/>
      <c r="E181" s="14"/>
      <c r="F181" s="18"/>
      <c r="G181" s="10">
        <f t="shared" si="10"/>
        <v>1</v>
      </c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2:21" x14ac:dyDescent="0.25">
      <c r="B182" s="19" t="s">
        <v>151</v>
      </c>
      <c r="C182" s="53" t="s">
        <v>12</v>
      </c>
      <c r="D182" s="17"/>
      <c r="E182" s="14"/>
      <c r="F182" s="18"/>
      <c r="G182" s="10">
        <f t="shared" si="10"/>
        <v>1</v>
      </c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2:21" x14ac:dyDescent="0.25">
      <c r="G183" s="10"/>
    </row>
    <row r="184" spans="2:21" x14ac:dyDescent="0.25">
      <c r="B184" s="62" t="s">
        <v>309</v>
      </c>
      <c r="C184" s="63"/>
      <c r="D184" s="63"/>
      <c r="E184" s="64"/>
      <c r="F184" s="63"/>
      <c r="G184" s="10"/>
    </row>
    <row r="185" spans="2:21" x14ac:dyDescent="0.25">
      <c r="B185" s="45" t="s">
        <v>153</v>
      </c>
      <c r="C185" s="59"/>
      <c r="D185" s="60"/>
      <c r="E185" s="50"/>
      <c r="F185" s="61"/>
      <c r="G185" s="10"/>
      <c r="H185" s="41">
        <v>1</v>
      </c>
      <c r="I185" s="41">
        <v>2</v>
      </c>
      <c r="J185" s="41">
        <v>3</v>
      </c>
      <c r="K185" s="41">
        <v>4</v>
      </c>
      <c r="L185" s="41">
        <v>5</v>
      </c>
      <c r="M185" s="41">
        <v>6</v>
      </c>
      <c r="N185" s="41">
        <v>7</v>
      </c>
      <c r="O185" s="41">
        <v>8</v>
      </c>
      <c r="P185" s="41">
        <v>9</v>
      </c>
      <c r="Q185" s="41">
        <v>10</v>
      </c>
      <c r="R185" s="41">
        <v>11</v>
      </c>
      <c r="S185" s="41">
        <v>12</v>
      </c>
    </row>
    <row r="186" spans="2:21" x14ac:dyDescent="0.25">
      <c r="B186" s="19" t="s">
        <v>44</v>
      </c>
      <c r="C186" s="53" t="s">
        <v>12</v>
      </c>
      <c r="D186" s="51">
        <v>85000</v>
      </c>
      <c r="E186" s="14">
        <v>0</v>
      </c>
      <c r="F186" s="18"/>
      <c r="G186" s="10">
        <f t="shared" ref="G186" si="12">IF($D186=0,1,SUM(H186:S186))</f>
        <v>36</v>
      </c>
      <c r="H186" s="44">
        <v>0</v>
      </c>
      <c r="I186" s="44">
        <v>1</v>
      </c>
      <c r="J186" s="44">
        <v>2</v>
      </c>
      <c r="K186" s="44">
        <v>2</v>
      </c>
      <c r="L186" s="44">
        <v>2</v>
      </c>
      <c r="M186" s="44">
        <v>2</v>
      </c>
      <c r="N186" s="44">
        <v>2</v>
      </c>
      <c r="O186" s="44">
        <v>5</v>
      </c>
      <c r="P186" s="44">
        <v>5</v>
      </c>
      <c r="Q186" s="44">
        <v>5</v>
      </c>
      <c r="R186" s="44">
        <v>5</v>
      </c>
      <c r="S186" s="44">
        <v>5</v>
      </c>
      <c r="U186" s="22"/>
    </row>
    <row r="187" spans="2:21" x14ac:dyDescent="0.25">
      <c r="B187" s="19" t="s">
        <v>132</v>
      </c>
      <c r="C187" s="53" t="s">
        <v>12</v>
      </c>
      <c r="D187" s="51">
        <v>85000</v>
      </c>
      <c r="E187" s="14">
        <v>0</v>
      </c>
      <c r="F187" s="18"/>
      <c r="G187" s="10">
        <f t="shared" ref="G187" si="13">IF($D187=0,1,SUM(H187:S187))</f>
        <v>17</v>
      </c>
      <c r="H187" s="44">
        <v>0</v>
      </c>
      <c r="I187" s="44">
        <v>2</v>
      </c>
      <c r="J187" s="44">
        <v>2</v>
      </c>
      <c r="K187" s="44">
        <v>2</v>
      </c>
      <c r="L187" s="44">
        <v>2</v>
      </c>
      <c r="M187" s="44">
        <v>2</v>
      </c>
      <c r="N187" s="44">
        <v>2</v>
      </c>
      <c r="O187" s="44">
        <v>1</v>
      </c>
      <c r="P187" s="44">
        <v>1</v>
      </c>
      <c r="Q187" s="44">
        <v>1</v>
      </c>
      <c r="R187" s="44">
        <v>1</v>
      </c>
      <c r="S187" s="44">
        <v>1</v>
      </c>
    </row>
    <row r="188" spans="2:21" x14ac:dyDescent="0.25">
      <c r="B188" s="45"/>
    </row>
    <row r="189" spans="2:21" x14ac:dyDescent="0.25">
      <c r="B189" s="45" t="s">
        <v>310</v>
      </c>
      <c r="H189" s="41">
        <v>1</v>
      </c>
      <c r="I189" s="41">
        <v>2</v>
      </c>
      <c r="J189" s="41">
        <v>3</v>
      </c>
      <c r="K189" s="41">
        <v>4</v>
      </c>
      <c r="L189" s="41">
        <v>5</v>
      </c>
      <c r="M189" s="41">
        <v>6</v>
      </c>
      <c r="N189" s="41">
        <v>7</v>
      </c>
      <c r="O189" s="41">
        <v>8</v>
      </c>
      <c r="P189" s="41">
        <v>9</v>
      </c>
      <c r="Q189" s="41">
        <v>10</v>
      </c>
      <c r="R189" s="41">
        <v>11</v>
      </c>
      <c r="S189" s="41">
        <v>12</v>
      </c>
    </row>
    <row r="190" spans="2:21" x14ac:dyDescent="0.25">
      <c r="B190" s="19" t="s">
        <v>308</v>
      </c>
      <c r="C190" s="53" t="s">
        <v>12</v>
      </c>
      <c r="D190" s="51">
        <v>3500</v>
      </c>
      <c r="E190" s="14">
        <v>0.2</v>
      </c>
      <c r="F190" s="18"/>
      <c r="G190" s="10">
        <f t="shared" ref="G190:G191" si="14">IF($D190=0,1,SUM(H190:S190))</f>
        <v>5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4">
        <v>0</v>
      </c>
      <c r="O190" s="44">
        <v>1</v>
      </c>
      <c r="P190" s="44">
        <v>1</v>
      </c>
      <c r="Q190" s="44">
        <v>1</v>
      </c>
      <c r="R190" s="44">
        <v>1</v>
      </c>
      <c r="S190" s="44">
        <v>1</v>
      </c>
    </row>
    <row r="191" spans="2:21" x14ac:dyDescent="0.25">
      <c r="B191" s="19" t="s">
        <v>308</v>
      </c>
      <c r="C191" s="53" t="s">
        <v>12</v>
      </c>
      <c r="D191" s="51">
        <v>10000</v>
      </c>
      <c r="E191" s="14">
        <v>0.2</v>
      </c>
      <c r="F191" s="18"/>
      <c r="G191" s="10">
        <f t="shared" si="14"/>
        <v>5</v>
      </c>
      <c r="H191" s="44">
        <v>0</v>
      </c>
      <c r="I191" s="44">
        <v>0</v>
      </c>
      <c r="J191" s="44">
        <v>0</v>
      </c>
      <c r="K191" s="44">
        <v>0</v>
      </c>
      <c r="L191" s="44">
        <v>0</v>
      </c>
      <c r="M191" s="44">
        <v>0</v>
      </c>
      <c r="N191" s="44">
        <v>0</v>
      </c>
      <c r="O191" s="44">
        <v>1</v>
      </c>
      <c r="P191" s="44">
        <v>1</v>
      </c>
      <c r="Q191" s="44">
        <v>1</v>
      </c>
      <c r="R191" s="44">
        <v>1</v>
      </c>
      <c r="S191" s="44">
        <v>1</v>
      </c>
    </row>
    <row r="192" spans="2:21" x14ac:dyDescent="0.25">
      <c r="B192" s="45"/>
    </row>
    <row r="193" spans="2:19" x14ac:dyDescent="0.25">
      <c r="B193" s="45" t="s">
        <v>154</v>
      </c>
      <c r="H193" s="41">
        <v>1</v>
      </c>
      <c r="I193" s="41">
        <v>2</v>
      </c>
      <c r="J193" s="41">
        <v>3</v>
      </c>
      <c r="K193" s="41">
        <v>4</v>
      </c>
      <c r="L193" s="41">
        <v>5</v>
      </c>
      <c r="M193" s="41">
        <v>6</v>
      </c>
      <c r="N193" s="41">
        <v>7</v>
      </c>
      <c r="O193" s="41">
        <v>8</v>
      </c>
      <c r="P193" s="41">
        <v>9</v>
      </c>
      <c r="Q193" s="41">
        <v>10</v>
      </c>
      <c r="R193" s="41">
        <v>11</v>
      </c>
      <c r="S193" s="41">
        <v>12</v>
      </c>
    </row>
    <row r="194" spans="2:19" x14ac:dyDescent="0.25">
      <c r="B194" s="19" t="s">
        <v>133</v>
      </c>
      <c r="C194" s="53" t="s">
        <v>14</v>
      </c>
      <c r="D194" s="51">
        <v>2000</v>
      </c>
      <c r="E194" s="14">
        <v>0</v>
      </c>
      <c r="F194" s="18"/>
      <c r="G194" s="10">
        <f t="shared" ref="G194:G195" si="15">IF($D194=0,1,SUM(H194:S194))</f>
        <v>12</v>
      </c>
      <c r="H194" s="44">
        <v>1</v>
      </c>
      <c r="I194" s="44">
        <v>1</v>
      </c>
      <c r="J194" s="44">
        <v>1</v>
      </c>
      <c r="K194" s="44">
        <v>1</v>
      </c>
      <c r="L194" s="44">
        <v>1</v>
      </c>
      <c r="M194" s="44">
        <v>1</v>
      </c>
      <c r="N194" s="44">
        <v>1</v>
      </c>
      <c r="O194" s="44">
        <v>1</v>
      </c>
      <c r="P194" s="44">
        <v>1</v>
      </c>
      <c r="Q194" s="44">
        <v>1</v>
      </c>
      <c r="R194" s="44">
        <v>1</v>
      </c>
      <c r="S194" s="44">
        <v>1</v>
      </c>
    </row>
    <row r="195" spans="2:19" x14ac:dyDescent="0.25">
      <c r="B195" s="19" t="s">
        <v>51</v>
      </c>
      <c r="C195" s="53" t="s">
        <v>14</v>
      </c>
      <c r="D195" s="51">
        <v>750</v>
      </c>
      <c r="E195" s="14">
        <v>0</v>
      </c>
      <c r="F195" s="18"/>
      <c r="G195" s="10">
        <f t="shared" si="15"/>
        <v>12</v>
      </c>
      <c r="H195" s="44">
        <v>1</v>
      </c>
      <c r="I195" s="44">
        <v>1</v>
      </c>
      <c r="J195" s="44">
        <v>1</v>
      </c>
      <c r="K195" s="44">
        <v>1</v>
      </c>
      <c r="L195" s="44">
        <v>1</v>
      </c>
      <c r="M195" s="44">
        <v>1</v>
      </c>
      <c r="N195" s="44">
        <v>1</v>
      </c>
      <c r="O195" s="44">
        <v>1</v>
      </c>
      <c r="P195" s="44">
        <v>1</v>
      </c>
      <c r="Q195" s="44">
        <v>1</v>
      </c>
      <c r="R195" s="44">
        <v>1</v>
      </c>
      <c r="S195" s="44">
        <v>1</v>
      </c>
    </row>
    <row r="196" spans="2:19" x14ac:dyDescent="0.25">
      <c r="B196" s="19" t="s">
        <v>52</v>
      </c>
      <c r="C196" s="53" t="s">
        <v>14</v>
      </c>
      <c r="D196" s="51">
        <v>750</v>
      </c>
      <c r="E196" s="14">
        <v>0</v>
      </c>
      <c r="F196" s="18"/>
      <c r="H196" s="44">
        <v>0</v>
      </c>
      <c r="I196" s="44">
        <v>0</v>
      </c>
      <c r="J196" s="44">
        <v>1</v>
      </c>
      <c r="K196" s="44">
        <v>1</v>
      </c>
      <c r="L196" s="44">
        <v>1</v>
      </c>
      <c r="M196" s="44">
        <v>1</v>
      </c>
      <c r="N196" s="44">
        <v>1</v>
      </c>
      <c r="O196" s="44">
        <v>1</v>
      </c>
      <c r="P196" s="44">
        <v>1</v>
      </c>
      <c r="Q196" s="44">
        <v>1</v>
      </c>
      <c r="R196" s="44">
        <v>0</v>
      </c>
      <c r="S196" s="44">
        <v>0</v>
      </c>
    </row>
    <row r="197" spans="2:19" x14ac:dyDescent="0.25">
      <c r="B197" s="19" t="s">
        <v>21</v>
      </c>
      <c r="C197" s="53" t="s">
        <v>14</v>
      </c>
      <c r="D197" s="51">
        <v>750</v>
      </c>
      <c r="E197" s="14">
        <v>0</v>
      </c>
      <c r="F197" s="18"/>
      <c r="H197" s="44">
        <v>0</v>
      </c>
      <c r="I197" s="44">
        <v>1</v>
      </c>
      <c r="J197" s="44">
        <v>1</v>
      </c>
      <c r="K197" s="44">
        <v>1</v>
      </c>
      <c r="L197" s="44">
        <v>1</v>
      </c>
      <c r="M197" s="44">
        <v>1</v>
      </c>
      <c r="N197" s="44">
        <v>1</v>
      </c>
      <c r="O197" s="44">
        <v>1</v>
      </c>
      <c r="P197" s="44">
        <v>1</v>
      </c>
      <c r="Q197" s="44">
        <v>1</v>
      </c>
      <c r="R197" s="44">
        <v>1</v>
      </c>
      <c r="S197" s="44">
        <v>1</v>
      </c>
    </row>
    <row r="198" spans="2:19" x14ac:dyDescent="0.25">
      <c r="B198" s="19" t="s">
        <v>53</v>
      </c>
      <c r="C198" s="53" t="s">
        <v>14</v>
      </c>
      <c r="D198" s="51">
        <v>750</v>
      </c>
      <c r="E198" s="14">
        <v>0</v>
      </c>
      <c r="F198" s="18"/>
      <c r="H198" s="44">
        <v>0</v>
      </c>
      <c r="I198" s="44">
        <v>1</v>
      </c>
      <c r="J198" s="44">
        <v>1</v>
      </c>
      <c r="K198" s="44">
        <v>1</v>
      </c>
      <c r="L198" s="44">
        <v>1</v>
      </c>
      <c r="M198" s="44">
        <v>1</v>
      </c>
      <c r="N198" s="44">
        <v>1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</row>
    <row r="199" spans="2:19" x14ac:dyDescent="0.25">
      <c r="B199" s="45"/>
    </row>
    <row r="200" spans="2:19" x14ac:dyDescent="0.25">
      <c r="B200" s="46" t="s">
        <v>156</v>
      </c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</row>
  </sheetData>
  <conditionalFormatting sqref="C8:C21 C25:C29 C33:C36 C97:C102">
    <cfRule type="expression" dxfId="103" priority="188">
      <formula>C8&lt;&gt;"RUB"</formula>
    </cfRule>
  </conditionalFormatting>
  <conditionalFormatting sqref="H165:S176 H81:S93 H8:S21 H96:S102">
    <cfRule type="cellIs" dxfId="102" priority="161" stopIfTrue="1" operator="greaterThan">
      <formula>0</formula>
    </cfRule>
  </conditionalFormatting>
  <conditionalFormatting sqref="H24:S29">
    <cfRule type="cellIs" dxfId="101" priority="160" stopIfTrue="1" operator="greaterThan">
      <formula>0</formula>
    </cfRule>
  </conditionalFormatting>
  <conditionalFormatting sqref="H32:S32 H34:S36 H33:J33 O33:S33">
    <cfRule type="cellIs" dxfId="100" priority="159" stopIfTrue="1" operator="greaterThan">
      <formula>0</formula>
    </cfRule>
  </conditionalFormatting>
  <conditionalFormatting sqref="H39:S43">
    <cfRule type="cellIs" dxfId="99" priority="158" stopIfTrue="1" operator="greaterThan">
      <formula>0</formula>
    </cfRule>
  </conditionalFormatting>
  <conditionalFormatting sqref="H46:S50">
    <cfRule type="cellIs" dxfId="98" priority="157" stopIfTrue="1" operator="greaterThan">
      <formula>0</formula>
    </cfRule>
  </conditionalFormatting>
  <conditionalFormatting sqref="H67:S70">
    <cfRule type="cellIs" dxfId="97" priority="156" stopIfTrue="1" operator="greaterThan">
      <formula>0</formula>
    </cfRule>
  </conditionalFormatting>
  <conditionalFormatting sqref="H73:S78">
    <cfRule type="cellIs" dxfId="96" priority="155" stopIfTrue="1" operator="greaterThan">
      <formula>0</formula>
    </cfRule>
  </conditionalFormatting>
  <conditionalFormatting sqref="H105:S119">
    <cfRule type="cellIs" dxfId="95" priority="152" stopIfTrue="1" operator="greaterThan">
      <formula>0</formula>
    </cfRule>
  </conditionalFormatting>
  <conditionalFormatting sqref="H33:N33">
    <cfRule type="cellIs" dxfId="94" priority="144" stopIfTrue="1" operator="greaterThan">
      <formula>0</formula>
    </cfRule>
  </conditionalFormatting>
  <conditionalFormatting sqref="H122:S122 H125:S125 M123:S124">
    <cfRule type="cellIs" dxfId="93" priority="151" stopIfTrue="1" operator="greaterThan">
      <formula>0</formula>
    </cfRule>
  </conditionalFormatting>
  <conditionalFormatting sqref="H128:S128 H130:S130 N129:S129 N131:S131 H132:S138">
    <cfRule type="cellIs" dxfId="92" priority="150" stopIfTrue="1" operator="greaterThan">
      <formula>0</formula>
    </cfRule>
  </conditionalFormatting>
  <conditionalFormatting sqref="H142:S142 M141:S141 H147:S147 M143:S143 H144 N144:S144 M145:S146">
    <cfRule type="cellIs" dxfId="91" priority="149" stopIfTrue="1" operator="greaterThan">
      <formula>0</formula>
    </cfRule>
  </conditionalFormatting>
  <conditionalFormatting sqref="H150:S154">
    <cfRule type="cellIs" dxfId="90" priority="148" stopIfTrue="1" operator="greaterThan">
      <formula>0</formula>
    </cfRule>
  </conditionalFormatting>
  <conditionalFormatting sqref="H157:S162">
    <cfRule type="cellIs" dxfId="89" priority="147" stopIfTrue="1" operator="greaterThan">
      <formula>0</formula>
    </cfRule>
  </conditionalFormatting>
  <conditionalFormatting sqref="H179:S182">
    <cfRule type="cellIs" dxfId="88" priority="145" stopIfTrue="1" operator="greaterThan">
      <formula>0</formula>
    </cfRule>
  </conditionalFormatting>
  <conditionalFormatting sqref="H60:S64">
    <cfRule type="cellIs" dxfId="87" priority="140" stopIfTrue="1" operator="greaterThan">
      <formula>0</formula>
    </cfRule>
  </conditionalFormatting>
  <conditionalFormatting sqref="H53:S57">
    <cfRule type="cellIs" dxfId="86" priority="142" stopIfTrue="1" operator="greaterThan">
      <formula>0</formula>
    </cfRule>
  </conditionalFormatting>
  <conditionalFormatting sqref="H123:L124">
    <cfRule type="cellIs" dxfId="85" priority="139" stopIfTrue="1" operator="greaterThan">
      <formula>0</formula>
    </cfRule>
  </conditionalFormatting>
  <conditionalFormatting sqref="H129:M129">
    <cfRule type="cellIs" dxfId="84" priority="138" stopIfTrue="1" operator="greaterThan">
      <formula>0</formula>
    </cfRule>
  </conditionalFormatting>
  <conditionalFormatting sqref="H131:M131">
    <cfRule type="cellIs" dxfId="83" priority="137" stopIfTrue="1" operator="greaterThan">
      <formula>0</formula>
    </cfRule>
  </conditionalFormatting>
  <conditionalFormatting sqref="H141:L141">
    <cfRule type="cellIs" dxfId="82" priority="136" stopIfTrue="1" operator="greaterThan">
      <formula>0</formula>
    </cfRule>
  </conditionalFormatting>
  <conditionalFormatting sqref="H143:L143">
    <cfRule type="cellIs" dxfId="81" priority="135" stopIfTrue="1" operator="greaterThan">
      <formula>0</formula>
    </cfRule>
  </conditionalFormatting>
  <conditionalFormatting sqref="I144:M144">
    <cfRule type="cellIs" dxfId="80" priority="134" stopIfTrue="1" operator="greaterThan">
      <formula>0</formula>
    </cfRule>
  </conditionalFormatting>
  <conditionalFormatting sqref="H145:L146">
    <cfRule type="cellIs" dxfId="79" priority="133" stopIfTrue="1" operator="greaterThan">
      <formula>0</formula>
    </cfRule>
  </conditionalFormatting>
  <conditionalFormatting sqref="D1:E1">
    <cfRule type="cellIs" dxfId="78" priority="132" operator="equal">
      <formula>"проверка!"</formula>
    </cfRule>
  </conditionalFormatting>
  <conditionalFormatting sqref="G8:G182">
    <cfRule type="cellIs" dxfId="77" priority="130" operator="lessThan">
      <formula>1</formula>
    </cfRule>
    <cfRule type="cellIs" dxfId="76" priority="131" operator="greaterThan">
      <formula>1</formula>
    </cfRule>
  </conditionalFormatting>
  <conditionalFormatting sqref="H186:S186">
    <cfRule type="cellIs" dxfId="75" priority="128" stopIfTrue="1" operator="greaterThan">
      <formula>0</formula>
    </cfRule>
  </conditionalFormatting>
  <conditionalFormatting sqref="H187:S187">
    <cfRule type="cellIs" dxfId="74" priority="125" stopIfTrue="1" operator="greaterThan">
      <formula>0</formula>
    </cfRule>
  </conditionalFormatting>
  <conditionalFormatting sqref="H190:S190">
    <cfRule type="cellIs" dxfId="73" priority="123" stopIfTrue="1" operator="greaterThan">
      <formula>0</formula>
    </cfRule>
  </conditionalFormatting>
  <conditionalFormatting sqref="H191:S191">
    <cfRule type="cellIs" dxfId="72" priority="122" stopIfTrue="1" operator="greaterThan">
      <formula>0</formula>
    </cfRule>
  </conditionalFormatting>
  <conditionalFormatting sqref="H194:S198">
    <cfRule type="cellIs" dxfId="71" priority="120" stopIfTrue="1" operator="greaterThan">
      <formula>0</formula>
    </cfRule>
  </conditionalFormatting>
  <conditionalFormatting sqref="H195:S198">
    <cfRule type="cellIs" dxfId="70" priority="119" stopIfTrue="1" operator="greaterThan">
      <formula>0</formula>
    </cfRule>
  </conditionalFormatting>
  <conditionalFormatting sqref="C194:C198">
    <cfRule type="expression" dxfId="69" priority="59">
      <formula>C194&lt;&gt;"RUB"</formula>
    </cfRule>
  </conditionalFormatting>
  <conditionalFormatting sqref="C24">
    <cfRule type="expression" dxfId="68" priority="40">
      <formula>C24&lt;&gt;"RUB"</formula>
    </cfRule>
  </conditionalFormatting>
  <conditionalFormatting sqref="C40:C43">
    <cfRule type="expression" dxfId="67" priority="77">
      <formula>C40&lt;&gt;"RUB"</formula>
    </cfRule>
  </conditionalFormatting>
  <conditionalFormatting sqref="C47:C50">
    <cfRule type="expression" dxfId="66" priority="76">
      <formula>C47&lt;&gt;"RUB"</formula>
    </cfRule>
  </conditionalFormatting>
  <conditionalFormatting sqref="C54:C57">
    <cfRule type="expression" dxfId="65" priority="75">
      <formula>C54&lt;&gt;"RUB"</formula>
    </cfRule>
  </conditionalFormatting>
  <conditionalFormatting sqref="C61:C64">
    <cfRule type="expression" dxfId="64" priority="74">
      <formula>C61&lt;&gt;"RUB"</formula>
    </cfRule>
  </conditionalFormatting>
  <conditionalFormatting sqref="C68:C70">
    <cfRule type="expression" dxfId="63" priority="73">
      <formula>C68&lt;&gt;"RUB"</formula>
    </cfRule>
  </conditionalFormatting>
  <conditionalFormatting sqref="C74:C78">
    <cfRule type="expression" dxfId="62" priority="72">
      <formula>C74&lt;&gt;"RUB"</formula>
    </cfRule>
  </conditionalFormatting>
  <conditionalFormatting sqref="C82:C93">
    <cfRule type="expression" dxfId="61" priority="71">
      <formula>C82&lt;&gt;"RUB"</formula>
    </cfRule>
  </conditionalFormatting>
  <conditionalFormatting sqref="C106:C119">
    <cfRule type="expression" dxfId="60" priority="69">
      <formula>C106&lt;&gt;"RUB"</formula>
    </cfRule>
  </conditionalFormatting>
  <conditionalFormatting sqref="C123:C125">
    <cfRule type="expression" dxfId="59" priority="68">
      <formula>C123&lt;&gt;"RUB"</formula>
    </cfRule>
  </conditionalFormatting>
  <conditionalFormatting sqref="C129:C138">
    <cfRule type="expression" dxfId="58" priority="67">
      <formula>C129&lt;&gt;"RUB"</formula>
    </cfRule>
  </conditionalFormatting>
  <conditionalFormatting sqref="C142:C147">
    <cfRule type="expression" dxfId="57" priority="66">
      <formula>C142&lt;&gt;"RUB"</formula>
    </cfRule>
  </conditionalFormatting>
  <conditionalFormatting sqref="C151:C154">
    <cfRule type="expression" dxfId="56" priority="65">
      <formula>C151&lt;&gt;"RUB"</formula>
    </cfRule>
  </conditionalFormatting>
  <conditionalFormatting sqref="C158:C162">
    <cfRule type="expression" dxfId="55" priority="64">
      <formula>C158&lt;&gt;"RUB"</formula>
    </cfRule>
  </conditionalFormatting>
  <conditionalFormatting sqref="C166:C176">
    <cfRule type="expression" dxfId="54" priority="63">
      <formula>C166&lt;&gt;"RUB"</formula>
    </cfRule>
  </conditionalFormatting>
  <conditionalFormatting sqref="C180:C182">
    <cfRule type="expression" dxfId="53" priority="62">
      <formula>C180&lt;&gt;"RUB"</formula>
    </cfRule>
  </conditionalFormatting>
  <conditionalFormatting sqref="C186:C187">
    <cfRule type="expression" dxfId="52" priority="61">
      <formula>C186&lt;&gt;"RUB"</formula>
    </cfRule>
  </conditionalFormatting>
  <conditionalFormatting sqref="C190:C191">
    <cfRule type="expression" dxfId="51" priority="60">
      <formula>C190&lt;&gt;"RUB"</formula>
    </cfRule>
  </conditionalFormatting>
  <conditionalFormatting sqref="C32">
    <cfRule type="expression" dxfId="50" priority="39">
      <formula>C32&lt;&gt;"RUB"</formula>
    </cfRule>
  </conditionalFormatting>
  <conditionalFormatting sqref="C39">
    <cfRule type="expression" dxfId="49" priority="38">
      <formula>C39&lt;&gt;"RUB"</formula>
    </cfRule>
  </conditionalFormatting>
  <conditionalFormatting sqref="C46">
    <cfRule type="expression" dxfId="48" priority="37">
      <formula>C46&lt;&gt;"RUB"</formula>
    </cfRule>
  </conditionalFormatting>
  <conditionalFormatting sqref="C185">
    <cfRule type="expression" dxfId="47" priority="22">
      <formula>C185&lt;&gt;"RUB"</formula>
    </cfRule>
  </conditionalFormatting>
  <conditionalFormatting sqref="C53">
    <cfRule type="expression" dxfId="46" priority="36">
      <formula>C53&lt;&gt;"RUB"</formula>
    </cfRule>
  </conditionalFormatting>
  <conditionalFormatting sqref="C60">
    <cfRule type="expression" dxfId="45" priority="35">
      <formula>C60&lt;&gt;"RUB"</formula>
    </cfRule>
  </conditionalFormatting>
  <conditionalFormatting sqref="C67">
    <cfRule type="expression" dxfId="44" priority="34">
      <formula>C67&lt;&gt;"RUB"</formula>
    </cfRule>
  </conditionalFormatting>
  <conditionalFormatting sqref="C73">
    <cfRule type="expression" dxfId="43" priority="33">
      <formula>C73&lt;&gt;"RUB"</formula>
    </cfRule>
  </conditionalFormatting>
  <conditionalFormatting sqref="C81">
    <cfRule type="expression" dxfId="42" priority="32">
      <formula>C81&lt;&gt;"RUB"</formula>
    </cfRule>
  </conditionalFormatting>
  <conditionalFormatting sqref="C96">
    <cfRule type="expression" dxfId="41" priority="31">
      <formula>C96&lt;&gt;"RUB"</formula>
    </cfRule>
  </conditionalFormatting>
  <conditionalFormatting sqref="C105">
    <cfRule type="expression" dxfId="40" priority="30">
      <formula>C105&lt;&gt;"RUB"</formula>
    </cfRule>
  </conditionalFormatting>
  <conditionalFormatting sqref="C122">
    <cfRule type="expression" dxfId="39" priority="29">
      <formula>C122&lt;&gt;"RUB"</formula>
    </cfRule>
  </conditionalFormatting>
  <conditionalFormatting sqref="C128">
    <cfRule type="expression" dxfId="38" priority="28">
      <formula>C128&lt;&gt;"RUB"</formula>
    </cfRule>
  </conditionalFormatting>
  <conditionalFormatting sqref="C141">
    <cfRule type="expression" dxfId="37" priority="27">
      <formula>C141&lt;&gt;"RUB"</formula>
    </cfRule>
  </conditionalFormatting>
  <conditionalFormatting sqref="C150">
    <cfRule type="expression" dxfId="36" priority="26">
      <formula>C150&lt;&gt;"RUB"</formula>
    </cfRule>
  </conditionalFormatting>
  <conditionalFormatting sqref="C157">
    <cfRule type="expression" dxfId="35" priority="25">
      <formula>C157&lt;&gt;"RUB"</formula>
    </cfRule>
  </conditionalFormatting>
  <conditionalFormatting sqref="C165">
    <cfRule type="expression" dxfId="34" priority="24">
      <formula>C165&lt;&gt;"RUB"</formula>
    </cfRule>
  </conditionalFormatting>
  <conditionalFormatting sqref="C179">
    <cfRule type="expression" dxfId="33" priority="23">
      <formula>C179&lt;&gt;"RUB"</formula>
    </cfRule>
  </conditionalFormatting>
  <dataValidations count="2">
    <dataValidation type="list" allowBlank="1" showInputMessage="1" showErrorMessage="1" sqref="C8:C21 C24:C29 C32:C36 C39:C43 C46:C50 C53:C57 C60:C64 C67:C70 C73:C78 C81:C93 C105:C119 C122:C125 C128:C138 C141:C147 C150:C154 C157:C162 C165:C176 C179:C182 C186:C187 C190:C191 C194:C198 C96:C102" xr:uid="{56AB8AA9-4D3D-4AB3-9B5A-3F92169AF58B}">
      <formula1>$H$3:$K$3</formula1>
    </dataValidation>
    <dataValidation type="list" allowBlank="1" showInputMessage="1" showErrorMessage="1" sqref="C38 C121" xr:uid="{A11F0C51-4B6A-4301-8480-9BF13109E4C4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8C7B-BF4A-4434-8BF6-BDFA90FBAE09}">
  <sheetPr codeName="Лист2">
    <tabColor rgb="FFFFFFCC"/>
  </sheetPr>
  <dimension ref="A1:V64"/>
  <sheetViews>
    <sheetView showGridLines="0" zoomScale="85" zoomScaleNormal="85" workbookViewId="0">
      <selection activeCell="H64" sqref="H64"/>
    </sheetView>
  </sheetViews>
  <sheetFormatPr defaultRowHeight="15" x14ac:dyDescent="0.25"/>
  <cols>
    <col min="1" max="1" width="2.7109375" customWidth="1"/>
    <col min="2" max="2" width="4.140625" customWidth="1"/>
    <col min="3" max="3" width="58" customWidth="1"/>
    <col min="4" max="4" width="11.5703125" customWidth="1"/>
    <col min="5" max="5" width="14.85546875" customWidth="1"/>
    <col min="6" max="6" width="12.7109375" customWidth="1"/>
    <col min="7" max="7" width="14.42578125" customWidth="1"/>
    <col min="8" max="19" width="14.5703125" customWidth="1"/>
  </cols>
  <sheetData>
    <row r="1" spans="1:20" ht="15.75" x14ac:dyDescent="0.25">
      <c r="A1" s="1"/>
      <c r="B1" s="1"/>
      <c r="C1" s="13" t="s">
        <v>143</v>
      </c>
      <c r="D1" s="1"/>
      <c r="E1" s="1"/>
      <c r="F1" s="1"/>
      <c r="G1" s="1"/>
      <c r="H1" s="1">
        <f ca="1">Расчет!H1</f>
        <v>2024</v>
      </c>
      <c r="I1" s="1">
        <f ca="1">Расчет!I1</f>
        <v>2024</v>
      </c>
      <c r="J1" s="1">
        <f ca="1">Расчет!J1</f>
        <v>2024</v>
      </c>
      <c r="K1" s="1">
        <f ca="1">Расчет!K1</f>
        <v>2024</v>
      </c>
      <c r="L1" s="1">
        <f ca="1">Расчет!L1</f>
        <v>2024</v>
      </c>
      <c r="M1" s="1">
        <f ca="1">Расчет!M1</f>
        <v>2024</v>
      </c>
      <c r="N1" s="1">
        <f ca="1">Расчет!N1</f>
        <v>2025</v>
      </c>
      <c r="O1" s="1">
        <f ca="1">Расчет!O1</f>
        <v>2025</v>
      </c>
      <c r="P1" s="1">
        <f ca="1">Расчет!P1</f>
        <v>2025</v>
      </c>
      <c r="Q1" s="1">
        <f ca="1">Расчет!Q1</f>
        <v>2025</v>
      </c>
      <c r="R1" s="1">
        <f ca="1">Расчет!R1</f>
        <v>2025</v>
      </c>
      <c r="S1" s="1">
        <f ca="1">Расчет!S1</f>
        <v>2025</v>
      </c>
      <c r="T1" s="2"/>
    </row>
    <row r="2" spans="1:20" ht="15.75" x14ac:dyDescent="0.25">
      <c r="A2" s="1"/>
      <c r="B2" s="1"/>
      <c r="C2" s="313" t="str">
        <f>'Приветствие !'!$M$17</f>
        <v>НАЗВАНИЕ ПРОЕКТА</v>
      </c>
      <c r="D2" s="13"/>
      <c r="E2" s="1"/>
      <c r="F2" s="1"/>
      <c r="G2" s="1"/>
      <c r="H2" s="1" t="str">
        <f ca="1">Расчет!H2</f>
        <v>3-кв</v>
      </c>
      <c r="I2" s="1" t="str">
        <f ca="1">Расчет!I2</f>
        <v>3-кв</v>
      </c>
      <c r="J2" s="1" t="str">
        <f ca="1">Расчет!J2</f>
        <v>3-кв</v>
      </c>
      <c r="K2" s="1" t="str">
        <f ca="1">Расчет!K2</f>
        <v>4-кв</v>
      </c>
      <c r="L2" s="1" t="str">
        <f ca="1">Расчет!L2</f>
        <v>4-кв</v>
      </c>
      <c r="M2" s="1" t="str">
        <f ca="1">Расчет!M2</f>
        <v>4-кв</v>
      </c>
      <c r="N2" s="1" t="str">
        <f ca="1">Расчет!N2</f>
        <v>1-кв</v>
      </c>
      <c r="O2" s="1" t="str">
        <f ca="1">Расчет!O2</f>
        <v>1-кв</v>
      </c>
      <c r="P2" s="1" t="str">
        <f ca="1">Расчет!P2</f>
        <v>1-кв</v>
      </c>
      <c r="Q2" s="1" t="str">
        <f ca="1">Расчет!Q2</f>
        <v>2-кв</v>
      </c>
      <c r="R2" s="1" t="str">
        <f ca="1">Расчет!R2</f>
        <v>2-кв</v>
      </c>
      <c r="S2" s="1" t="str">
        <f ca="1">Расчет!S2</f>
        <v>2-кв</v>
      </c>
      <c r="T2" s="2"/>
    </row>
    <row r="3" spans="1:20" ht="15.75" x14ac:dyDescent="0.25">
      <c r="A3" s="3"/>
      <c r="B3" s="1"/>
      <c r="C3" s="313"/>
      <c r="D3" s="13"/>
      <c r="E3" s="4"/>
      <c r="F3" s="4" t="s">
        <v>0</v>
      </c>
      <c r="G3" s="1"/>
      <c r="H3" s="5">
        <f>Расчет!H3</f>
        <v>1</v>
      </c>
      <c r="I3" s="5">
        <f>Расчет!I3</f>
        <v>2</v>
      </c>
      <c r="J3" s="5">
        <f>Расчет!J3</f>
        <v>3</v>
      </c>
      <c r="K3" s="5">
        <f>Расчет!K3</f>
        <v>4</v>
      </c>
      <c r="L3" s="5">
        <f>Расчет!L3</f>
        <v>5</v>
      </c>
      <c r="M3" s="5">
        <f>Расчет!M3</f>
        <v>6</v>
      </c>
      <c r="N3" s="5">
        <f>Расчет!N3</f>
        <v>7</v>
      </c>
      <c r="O3" s="5">
        <f>Расчет!O3</f>
        <v>8</v>
      </c>
      <c r="P3" s="5">
        <f>Расчет!P3</f>
        <v>9</v>
      </c>
      <c r="Q3" s="5">
        <f>Расчет!Q3</f>
        <v>10</v>
      </c>
      <c r="R3" s="5">
        <f>Расчет!R3</f>
        <v>11</v>
      </c>
      <c r="S3" s="5">
        <f>Расчет!S3</f>
        <v>12</v>
      </c>
      <c r="T3" s="2"/>
    </row>
    <row r="4" spans="1:20" ht="15.75" x14ac:dyDescent="0.25">
      <c r="A4" s="1"/>
      <c r="B4" s="1"/>
      <c r="C4" s="313"/>
      <c r="D4" s="34" t="s">
        <v>139</v>
      </c>
      <c r="E4" s="35" t="str">
        <f ca="1">Расчет!$G$272</f>
        <v>ок</v>
      </c>
      <c r="F4" s="4" t="s">
        <v>1</v>
      </c>
      <c r="G4" s="1"/>
      <c r="H4" s="6">
        <f ca="1">Расчет!H4</f>
        <v>45474</v>
      </c>
      <c r="I4" s="6">
        <f ca="1">Расчет!I4</f>
        <v>45505</v>
      </c>
      <c r="J4" s="6">
        <f ca="1">Расчет!J4</f>
        <v>45536</v>
      </c>
      <c r="K4" s="6">
        <f ca="1">Расчет!K4</f>
        <v>45566</v>
      </c>
      <c r="L4" s="6">
        <f ca="1">Расчет!L4</f>
        <v>45597</v>
      </c>
      <c r="M4" s="6">
        <f ca="1">Расчет!M4</f>
        <v>45627</v>
      </c>
      <c r="N4" s="6">
        <f ca="1">Расчет!N4</f>
        <v>45658</v>
      </c>
      <c r="O4" s="6">
        <f ca="1">Расчет!O4</f>
        <v>45689</v>
      </c>
      <c r="P4" s="6">
        <f ca="1">Расчет!P4</f>
        <v>45717</v>
      </c>
      <c r="Q4" s="6">
        <f ca="1">Расчет!Q4</f>
        <v>45748</v>
      </c>
      <c r="R4" s="6">
        <f ca="1">Расчет!R4</f>
        <v>45778</v>
      </c>
      <c r="S4" s="6">
        <f ca="1">Расчет!S4</f>
        <v>45809</v>
      </c>
      <c r="T4" s="2"/>
    </row>
    <row r="5" spans="1:20" ht="15.75" x14ac:dyDescent="0.25">
      <c r="A5" s="1"/>
      <c r="B5" s="1"/>
      <c r="C5" s="13" t="str">
        <f>"целевая страна: "&amp;'Приветствие !'!$H$24</f>
        <v>целевая страна: ОАЭ</v>
      </c>
      <c r="D5" s="13"/>
      <c r="E5" s="4"/>
      <c r="F5" s="4" t="s">
        <v>2</v>
      </c>
      <c r="G5" s="1"/>
      <c r="H5" s="6">
        <f ca="1">Расчет!H5</f>
        <v>45504</v>
      </c>
      <c r="I5" s="6">
        <f ca="1">Расчет!I5</f>
        <v>45535</v>
      </c>
      <c r="J5" s="6">
        <f ca="1">Расчет!J5</f>
        <v>45565</v>
      </c>
      <c r="K5" s="6">
        <f ca="1">Расчет!K5</f>
        <v>45596</v>
      </c>
      <c r="L5" s="6">
        <f ca="1">Расчет!L5</f>
        <v>45626</v>
      </c>
      <c r="M5" s="6">
        <f ca="1">Расчет!M5</f>
        <v>45657</v>
      </c>
      <c r="N5" s="6">
        <f ca="1">Расчет!N5</f>
        <v>45688</v>
      </c>
      <c r="O5" s="6">
        <f ca="1">Расчет!O5</f>
        <v>45716</v>
      </c>
      <c r="P5" s="6">
        <f ca="1">Расчет!P5</f>
        <v>45747</v>
      </c>
      <c r="Q5" s="6">
        <f ca="1">Расчет!Q5</f>
        <v>45777</v>
      </c>
      <c r="R5" s="6">
        <f ca="1">Расчет!R5</f>
        <v>45808</v>
      </c>
      <c r="S5" s="6">
        <f ca="1">Расчет!S5</f>
        <v>45838</v>
      </c>
      <c r="T5" s="2"/>
    </row>
    <row r="6" spans="1:20" x14ac:dyDescent="0.25">
      <c r="A6" s="1"/>
      <c r="B6" s="1"/>
      <c r="C6" s="1"/>
      <c r="D6" s="1"/>
      <c r="E6" s="4"/>
      <c r="F6" s="4" t="s">
        <v>3</v>
      </c>
      <c r="G6" s="1"/>
      <c r="H6" s="7">
        <f ca="1">Расчет!H6</f>
        <v>8.1967213114754092E-2</v>
      </c>
      <c r="I6" s="7">
        <f ca="1">Расчет!I6</f>
        <v>8.1967213114754092E-2</v>
      </c>
      <c r="J6" s="7">
        <f ca="1">Расчет!J6</f>
        <v>7.9234972677595633E-2</v>
      </c>
      <c r="K6" s="7">
        <f ca="1">Расчет!K6</f>
        <v>8.1967213114754092E-2</v>
      </c>
      <c r="L6" s="7">
        <f ca="1">Расчет!L6</f>
        <v>7.9234972677595633E-2</v>
      </c>
      <c r="M6" s="7">
        <f ca="1">Расчет!M6</f>
        <v>8.1967213114754092E-2</v>
      </c>
      <c r="N6" s="7">
        <f ca="1">Расчет!N6</f>
        <v>8.2191780821917804E-2</v>
      </c>
      <c r="O6" s="7">
        <f ca="1">Расчет!O6</f>
        <v>7.3972602739726029E-2</v>
      </c>
      <c r="P6" s="7">
        <f ca="1">Расчет!P6</f>
        <v>8.2191780821917804E-2</v>
      </c>
      <c r="Q6" s="7">
        <f ca="1">Расчет!Q6</f>
        <v>7.9452054794520555E-2</v>
      </c>
      <c r="R6" s="7">
        <f ca="1">Расчет!R6</f>
        <v>8.2191780821917804E-2</v>
      </c>
      <c r="S6" s="7">
        <f ca="1">Расчет!S6</f>
        <v>7.9452054794520555E-2</v>
      </c>
      <c r="T6" s="2"/>
    </row>
    <row r="7" spans="1:20" x14ac:dyDescent="0.25">
      <c r="A7" s="151"/>
      <c r="B7" s="151"/>
      <c r="C7" s="152"/>
      <c r="D7" s="153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4"/>
    </row>
    <row r="8" spans="1:20" s="154" customFormat="1" ht="15.75" x14ac:dyDescent="0.25">
      <c r="A8" s="151"/>
      <c r="B8" s="151"/>
      <c r="C8" s="182" t="s">
        <v>320</v>
      </c>
      <c r="D8" s="153"/>
      <c r="E8" s="151"/>
      <c r="F8" s="151"/>
      <c r="G8" s="151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</row>
    <row r="9" spans="1:20" s="154" customFormat="1" x14ac:dyDescent="0.25">
      <c r="A9" s="151"/>
      <c r="B9" s="151"/>
      <c r="C9" s="178" t="str">
        <f>Расчет!C252</f>
        <v>Анализ рынка продукта</v>
      </c>
      <c r="D9" s="175" t="s">
        <v>12</v>
      </c>
      <c r="E9" s="33">
        <f ca="1">Расчет!E252</f>
        <v>1206627.730883104</v>
      </c>
      <c r="F9" s="168"/>
      <c r="G9" s="168"/>
      <c r="H9" s="33">
        <f ca="1">Расчет!H252</f>
        <v>60063.035421188353</v>
      </c>
      <c r="I9" s="33">
        <f ca="1">Расчет!I252</f>
        <v>180486.70322227964</v>
      </c>
      <c r="J9" s="33">
        <f ca="1">Расчет!J252</f>
        <v>261133.58799170755</v>
      </c>
      <c r="K9" s="33">
        <f ca="1">Расчет!K252</f>
        <v>342046.37021768815</v>
      </c>
      <c r="L9" s="33">
        <f ca="1">Расчет!L252</f>
        <v>282150.47214704769</v>
      </c>
      <c r="M9" s="33">
        <f ca="1">Расчет!M252</f>
        <v>80747.561883192524</v>
      </c>
      <c r="N9" s="33">
        <f ca="1">Расчет!N252</f>
        <v>0</v>
      </c>
      <c r="O9" s="33">
        <f ca="1">Расчет!O252</f>
        <v>0</v>
      </c>
      <c r="P9" s="33">
        <f ca="1">Расчет!P252</f>
        <v>0</v>
      </c>
      <c r="Q9" s="33">
        <f ca="1">Расчет!Q252</f>
        <v>0</v>
      </c>
      <c r="R9" s="33">
        <f ca="1">Расчет!R252</f>
        <v>0</v>
      </c>
      <c r="S9" s="33">
        <f ca="1">Расчет!S252</f>
        <v>0</v>
      </c>
    </row>
    <row r="10" spans="1:20" s="154" customFormat="1" x14ac:dyDescent="0.25">
      <c r="A10" s="151"/>
      <c r="B10" s="151"/>
      <c r="C10" s="178" t="str">
        <f>Расчет!C253</f>
        <v>НИОКР</v>
      </c>
      <c r="D10" s="175" t="s">
        <v>12</v>
      </c>
      <c r="E10" s="33">
        <f ca="1">Расчет!E253</f>
        <v>10208811.434158018</v>
      </c>
      <c r="F10" s="168"/>
      <c r="G10" s="168"/>
      <c r="H10" s="33">
        <f ca="1">Расчет!H253</f>
        <v>1256965.3278315889</v>
      </c>
      <c r="I10" s="33">
        <f ca="1">Расчет!I253</f>
        <v>1263969.4682966191</v>
      </c>
      <c r="J10" s="33">
        <f ca="1">Расчет!J253</f>
        <v>2965696.1545616142</v>
      </c>
      <c r="K10" s="33">
        <f ca="1">Расчет!K253</f>
        <v>1278095.0534288303</v>
      </c>
      <c r="L10" s="33">
        <f ca="1">Расчет!L253</f>
        <v>1713622.5790219756</v>
      </c>
      <c r="M10" s="33">
        <f ca="1">Расчет!M253</f>
        <v>0</v>
      </c>
      <c r="N10" s="33">
        <f ca="1">Расчет!N253</f>
        <v>1730462.8510173897</v>
      </c>
      <c r="O10" s="33">
        <f ca="1">Расчет!O253</f>
        <v>0</v>
      </c>
      <c r="P10" s="33">
        <f ca="1">Расчет!P253</f>
        <v>0</v>
      </c>
      <c r="Q10" s="33">
        <f ca="1">Расчет!Q253</f>
        <v>0</v>
      </c>
      <c r="R10" s="33">
        <f ca="1">Расчет!R253</f>
        <v>0</v>
      </c>
      <c r="S10" s="33">
        <f ca="1">Расчет!S253</f>
        <v>0</v>
      </c>
    </row>
    <row r="11" spans="1:20" s="154" customFormat="1" x14ac:dyDescent="0.25">
      <c r="A11" s="151"/>
      <c r="B11" s="151"/>
      <c r="C11" s="178" t="str">
        <f>Расчет!C254</f>
        <v>Расходы на подготовку производства</v>
      </c>
      <c r="D11" s="175" t="s">
        <v>12</v>
      </c>
      <c r="E11" s="33">
        <f ca="1">Расчет!E254</f>
        <v>507004.24872263015</v>
      </c>
      <c r="F11" s="168"/>
      <c r="G11" s="168"/>
      <c r="H11" s="33">
        <f ca="1">Расчет!H254</f>
        <v>125696.53278315889</v>
      </c>
      <c r="I11" s="33">
        <f ca="1">Расчет!I254</f>
        <v>126396.9468296619</v>
      </c>
      <c r="J11" s="33">
        <f ca="1">Расчет!J254</f>
        <v>127101.26376692632</v>
      </c>
      <c r="K11" s="33">
        <f ca="1">Расчет!K254</f>
        <v>127809.50534288304</v>
      </c>
      <c r="L11" s="33">
        <f ca="1">Расчет!L254</f>
        <v>0</v>
      </c>
      <c r="M11" s="33">
        <f ca="1">Расчет!M254</f>
        <v>0</v>
      </c>
      <c r="N11" s="33">
        <f ca="1">Расчет!N254</f>
        <v>0</v>
      </c>
      <c r="O11" s="33">
        <f ca="1">Расчет!O254</f>
        <v>0</v>
      </c>
      <c r="P11" s="33">
        <f ca="1">Расчет!P254</f>
        <v>0</v>
      </c>
      <c r="Q11" s="33">
        <f ca="1">Расчет!Q254</f>
        <v>0</v>
      </c>
      <c r="R11" s="33">
        <f ca="1">Расчет!R254</f>
        <v>0</v>
      </c>
      <c r="S11" s="33">
        <f ca="1">Расчет!S254</f>
        <v>0</v>
      </c>
    </row>
    <row r="12" spans="1:20" s="154" customFormat="1" x14ac:dyDescent="0.25">
      <c r="A12" s="151"/>
      <c r="B12" s="151"/>
      <c r="C12" s="178" t="str">
        <f>Расчет!C255</f>
        <v>Аренда основных средств на стадии подготовки проекта</v>
      </c>
      <c r="D12" s="175" t="s">
        <v>12</v>
      </c>
      <c r="E12" s="33">
        <f ca="1">Расчет!E255</f>
        <v>25847.570001839649</v>
      </c>
      <c r="F12" s="168"/>
      <c r="G12" s="168"/>
      <c r="H12" s="33">
        <f ca="1">Расчет!H255</f>
        <v>0</v>
      </c>
      <c r="I12" s="33">
        <f ca="1">Расчет!I255</f>
        <v>0</v>
      </c>
      <c r="J12" s="33">
        <f ca="1">Расчет!J255</f>
        <v>0</v>
      </c>
      <c r="K12" s="33">
        <f ca="1">Расчет!K255</f>
        <v>0</v>
      </c>
      <c r="L12" s="33">
        <f ca="1">Расчет!L255</f>
        <v>0</v>
      </c>
      <c r="M12" s="33">
        <f ca="1">Расчет!M255</f>
        <v>25847.570001839649</v>
      </c>
      <c r="N12" s="33">
        <f ca="1">Расчет!N255</f>
        <v>0</v>
      </c>
      <c r="O12" s="33">
        <f ca="1">Расчет!O255</f>
        <v>0</v>
      </c>
      <c r="P12" s="33">
        <f ca="1">Расчет!P255</f>
        <v>0</v>
      </c>
      <c r="Q12" s="33">
        <f ca="1">Расчет!Q255</f>
        <v>0</v>
      </c>
      <c r="R12" s="33">
        <f ca="1">Расчет!R255</f>
        <v>0</v>
      </c>
      <c r="S12" s="33">
        <f ca="1">Расчет!S255</f>
        <v>0</v>
      </c>
    </row>
    <row r="13" spans="1:20" s="154" customFormat="1" x14ac:dyDescent="0.25">
      <c r="A13" s="151"/>
      <c r="B13" s="151"/>
      <c r="C13" s="178" t="str">
        <f>Расчет!C256</f>
        <v>Закупка основных средств: земельный участок</v>
      </c>
      <c r="D13" s="175" t="s">
        <v>12</v>
      </c>
      <c r="E13" s="33">
        <f ca="1">Расчет!E256</f>
        <v>5385599.6855833093</v>
      </c>
      <c r="F13" s="168"/>
      <c r="G13" s="168"/>
      <c r="H13" s="33">
        <f ca="1">Расчет!H256</f>
        <v>0</v>
      </c>
      <c r="I13" s="33">
        <f ca="1">Расчет!I256</f>
        <v>0</v>
      </c>
      <c r="J13" s="33">
        <f ca="1">Расчет!J256</f>
        <v>0</v>
      </c>
      <c r="K13" s="33">
        <f ca="1">Расчет!K256</f>
        <v>0</v>
      </c>
      <c r="L13" s="33">
        <f ca="1">Расчет!L256</f>
        <v>0</v>
      </c>
      <c r="M13" s="33">
        <f ca="1">Расчет!M256</f>
        <v>5385599.6855833093</v>
      </c>
      <c r="N13" s="33">
        <f ca="1">Расчет!N256</f>
        <v>0</v>
      </c>
      <c r="O13" s="33">
        <f ca="1">Расчет!O256</f>
        <v>0</v>
      </c>
      <c r="P13" s="33">
        <f ca="1">Расчет!P256</f>
        <v>0</v>
      </c>
      <c r="Q13" s="33">
        <f ca="1">Расчет!Q256</f>
        <v>0</v>
      </c>
      <c r="R13" s="33">
        <f ca="1">Расчет!R256</f>
        <v>0</v>
      </c>
      <c r="S13" s="33">
        <f ca="1">Расчет!S256</f>
        <v>0</v>
      </c>
    </row>
    <row r="14" spans="1:20" s="154" customFormat="1" x14ac:dyDescent="0.25">
      <c r="A14" s="151"/>
      <c r="B14" s="151"/>
      <c r="C14" s="178" t="str">
        <f>Расчет!C257</f>
        <v>Закупка основных средств: помещение</v>
      </c>
      <c r="D14" s="175" t="s">
        <v>12</v>
      </c>
      <c r="E14" s="33">
        <f ca="1">Расчет!E257</f>
        <v>1744710.9751241764</v>
      </c>
      <c r="F14" s="168"/>
      <c r="G14" s="168"/>
      <c r="H14" s="33">
        <f ca="1">Расчет!H257</f>
        <v>0</v>
      </c>
      <c r="I14" s="33">
        <f ca="1">Расчет!I257</f>
        <v>0</v>
      </c>
      <c r="J14" s="33">
        <f ca="1">Расчет!J257</f>
        <v>0</v>
      </c>
      <c r="K14" s="33">
        <f ca="1">Расчет!K257</f>
        <v>0</v>
      </c>
      <c r="L14" s="33">
        <f ca="1">Расчет!L257</f>
        <v>0</v>
      </c>
      <c r="M14" s="33">
        <f ca="1">Расчет!M257</f>
        <v>1744710.9751241764</v>
      </c>
      <c r="N14" s="33">
        <f ca="1">Расчет!N257</f>
        <v>0</v>
      </c>
      <c r="O14" s="33">
        <f ca="1">Расчет!O257</f>
        <v>0</v>
      </c>
      <c r="P14" s="33">
        <f ca="1">Расчет!P257</f>
        <v>0</v>
      </c>
      <c r="Q14" s="33">
        <f ca="1">Расчет!Q257</f>
        <v>0</v>
      </c>
      <c r="R14" s="33">
        <f ca="1">Расчет!R257</f>
        <v>0</v>
      </c>
      <c r="S14" s="33">
        <f ca="1">Расчет!S257</f>
        <v>0</v>
      </c>
    </row>
    <row r="15" spans="1:20" s="154" customFormat="1" x14ac:dyDescent="0.25">
      <c r="A15" s="151"/>
      <c r="B15" s="151"/>
      <c r="C15" s="178" t="str">
        <f>Расчет!C258</f>
        <v>Закупка основных средств: оборудование</v>
      </c>
      <c r="D15" s="175" t="s">
        <v>12</v>
      </c>
      <c r="E15" s="33">
        <f ca="1">Расчет!E258</f>
        <v>3041742.8704978274</v>
      </c>
      <c r="F15" s="168"/>
      <c r="G15" s="168"/>
      <c r="H15" s="33">
        <f ca="1">Расчет!H258</f>
        <v>0</v>
      </c>
      <c r="I15" s="33">
        <f ca="1">Расчет!I258</f>
        <v>0</v>
      </c>
      <c r="J15" s="33">
        <f ca="1">Расчет!J258</f>
        <v>0</v>
      </c>
      <c r="K15" s="33">
        <f ca="1">Расчет!K258</f>
        <v>1011127.3461853944</v>
      </c>
      <c r="L15" s="33">
        <f ca="1">Расчет!L258</f>
        <v>0</v>
      </c>
      <c r="M15" s="33">
        <f ca="1">Расчет!M258</f>
        <v>1014470.022296125</v>
      </c>
      <c r="N15" s="33">
        <f ca="1">Расчет!N258</f>
        <v>1016145.5020163078</v>
      </c>
      <c r="O15" s="33">
        <f ca="1">Расчет!O258</f>
        <v>0</v>
      </c>
      <c r="P15" s="33">
        <f ca="1">Расчет!P258</f>
        <v>0</v>
      </c>
      <c r="Q15" s="33">
        <f ca="1">Расчет!Q258</f>
        <v>0</v>
      </c>
      <c r="R15" s="33">
        <f ca="1">Расчет!R258</f>
        <v>0</v>
      </c>
      <c r="S15" s="33">
        <f ca="1">Расчет!S258</f>
        <v>0</v>
      </c>
    </row>
    <row r="16" spans="1:20" s="154" customFormat="1" x14ac:dyDescent="0.25">
      <c r="A16" s="151"/>
      <c r="B16" s="151"/>
      <c r="C16" s="178" t="str">
        <f>Расчет!C259</f>
        <v>Пусковые расходы</v>
      </c>
      <c r="D16" s="175" t="s">
        <v>12</v>
      </c>
      <c r="E16" s="33">
        <f ca="1">Расчет!E259</f>
        <v>518045.12767100497</v>
      </c>
      <c r="F16" s="168"/>
      <c r="G16" s="168"/>
      <c r="H16" s="33">
        <f ca="1">Расчет!H259</f>
        <v>0</v>
      </c>
      <c r="I16" s="33">
        <f ca="1">Расчет!I259</f>
        <v>0</v>
      </c>
      <c r="J16" s="33">
        <f ca="1">Расчет!J259</f>
        <v>0</v>
      </c>
      <c r="K16" s="33">
        <f ca="1">Расчет!K259</f>
        <v>0</v>
      </c>
      <c r="L16" s="33">
        <f ca="1">Расчет!L259</f>
        <v>0</v>
      </c>
      <c r="M16" s="33">
        <f ca="1">Расчет!M259</f>
        <v>258475.70001839648</v>
      </c>
      <c r="N16" s="33">
        <f ca="1">Расчет!N259</f>
        <v>259569.42765260849</v>
      </c>
      <c r="O16" s="33">
        <f ca="1">Расчет!O259</f>
        <v>0</v>
      </c>
      <c r="P16" s="33">
        <f ca="1">Расчет!P259</f>
        <v>0</v>
      </c>
      <c r="Q16" s="33">
        <f ca="1">Расчет!Q259</f>
        <v>0</v>
      </c>
      <c r="R16" s="33">
        <f ca="1">Расчет!R259</f>
        <v>0</v>
      </c>
      <c r="S16" s="33">
        <f ca="1">Расчет!S259</f>
        <v>0</v>
      </c>
    </row>
    <row r="17" spans="1:19" s="154" customFormat="1" x14ac:dyDescent="0.25">
      <c r="A17" s="151"/>
      <c r="B17" s="151"/>
      <c r="C17" s="178" t="str">
        <f>Расчет!C260</f>
        <v>Адаптация продукта</v>
      </c>
      <c r="D17" s="175" t="s">
        <v>12</v>
      </c>
      <c r="E17" s="33">
        <f ca="1">Расчет!E260</f>
        <v>3983150.7266054149</v>
      </c>
      <c r="F17" s="168"/>
      <c r="G17" s="168"/>
      <c r="H17" s="33">
        <f ca="1">Расчет!H260</f>
        <v>0</v>
      </c>
      <c r="I17" s="33">
        <f ca="1">Расчет!I260</f>
        <v>0</v>
      </c>
      <c r="J17" s="33">
        <f ca="1">Расчет!J260</f>
        <v>0</v>
      </c>
      <c r="K17" s="33">
        <f ca="1">Расчет!K260</f>
        <v>0</v>
      </c>
      <c r="L17" s="33">
        <f ca="1">Расчет!L260</f>
        <v>0</v>
      </c>
      <c r="M17" s="33">
        <f ca="1">Расчет!M260</f>
        <v>3360184.1002391544</v>
      </c>
      <c r="N17" s="33">
        <f ca="1">Расчет!N260</f>
        <v>622966.62636626035</v>
      </c>
      <c r="O17" s="33">
        <f ca="1">Расчет!O260</f>
        <v>0</v>
      </c>
      <c r="P17" s="33">
        <f ca="1">Расчет!P260</f>
        <v>0</v>
      </c>
      <c r="Q17" s="33">
        <f ca="1">Расчет!Q260</f>
        <v>0</v>
      </c>
      <c r="R17" s="33">
        <f ca="1">Расчет!R260</f>
        <v>0</v>
      </c>
      <c r="S17" s="33">
        <f ca="1">Расчет!S260</f>
        <v>0</v>
      </c>
    </row>
    <row r="18" spans="1:19" s="154" customFormat="1" x14ac:dyDescent="0.25">
      <c r="A18" s="151"/>
      <c r="B18" s="151"/>
      <c r="C18" s="178" t="str">
        <f>Расчет!C261</f>
        <v>Защита исключительных прав</v>
      </c>
      <c r="D18" s="175" t="s">
        <v>12</v>
      </c>
      <c r="E18" s="33">
        <f ca="1">Расчет!E261</f>
        <v>479300.71064570243</v>
      </c>
      <c r="F18" s="168"/>
      <c r="G18" s="168"/>
      <c r="H18" s="33">
        <f ca="1">Расчет!H261</f>
        <v>110612.94884917983</v>
      </c>
      <c r="I18" s="33">
        <f ca="1">Расчет!I261</f>
        <v>63198.473414830951</v>
      </c>
      <c r="J18" s="33">
        <f ca="1">Расчет!J261</f>
        <v>63550.63188346316</v>
      </c>
      <c r="K18" s="33">
        <f ca="1">Расчет!K261</f>
        <v>63904.752671441522</v>
      </c>
      <c r="L18" s="33">
        <f ca="1">Расчет!L261</f>
        <v>64260.846713324092</v>
      </c>
      <c r="M18" s="33">
        <f ca="1">Расчет!M261</f>
        <v>103390.2800073586</v>
      </c>
      <c r="N18" s="33">
        <f ca="1">Расчет!N261</f>
        <v>10382.777106104339</v>
      </c>
      <c r="O18" s="33">
        <f ca="1">Расчет!O261</f>
        <v>0</v>
      </c>
      <c r="P18" s="33">
        <f ca="1">Расчет!P261</f>
        <v>0</v>
      </c>
      <c r="Q18" s="33">
        <f ca="1">Расчет!Q261</f>
        <v>0</v>
      </c>
      <c r="R18" s="33">
        <f ca="1">Расчет!R261</f>
        <v>0</v>
      </c>
      <c r="S18" s="33">
        <f ca="1">Расчет!S261</f>
        <v>0</v>
      </c>
    </row>
    <row r="19" spans="1:19" s="154" customFormat="1" x14ac:dyDescent="0.25">
      <c r="A19" s="151"/>
      <c r="B19" s="151"/>
      <c r="C19" s="178" t="str">
        <f>Расчет!C262</f>
        <v>Сертификация продукта</v>
      </c>
      <c r="D19" s="175" t="s">
        <v>12</v>
      </c>
      <c r="E19" s="33">
        <f ca="1">Расчет!E262</f>
        <v>154655.72606150786</v>
      </c>
      <c r="F19" s="168"/>
      <c r="G19" s="168"/>
      <c r="H19" s="33">
        <f ca="1">Расчет!H262</f>
        <v>0</v>
      </c>
      <c r="I19" s="33">
        <f ca="1">Расчет!I262</f>
        <v>0</v>
      </c>
      <c r="J19" s="33">
        <f ca="1">Расчет!J262</f>
        <v>0</v>
      </c>
      <c r="K19" s="33">
        <f ca="1">Расчет!K262</f>
        <v>0</v>
      </c>
      <c r="L19" s="33">
        <f ca="1">Расчет!L262</f>
        <v>77113.016055988905</v>
      </c>
      <c r="M19" s="33">
        <f ca="1">Расчет!M262</f>
        <v>77542.710005518951</v>
      </c>
      <c r="N19" s="33">
        <f ca="1">Расчет!N262</f>
        <v>0</v>
      </c>
      <c r="O19" s="33">
        <f ca="1">Расчет!O262</f>
        <v>0</v>
      </c>
      <c r="P19" s="33">
        <f ca="1">Расчет!P262</f>
        <v>0</v>
      </c>
      <c r="Q19" s="33">
        <f ca="1">Расчет!Q262</f>
        <v>0</v>
      </c>
      <c r="R19" s="33">
        <f ca="1">Расчет!R262</f>
        <v>0</v>
      </c>
      <c r="S19" s="33">
        <f ca="1">Расчет!S262</f>
        <v>0</v>
      </c>
    </row>
    <row r="20" spans="1:19" s="154" customFormat="1" x14ac:dyDescent="0.25">
      <c r="A20" s="151"/>
      <c r="B20" s="151"/>
      <c r="C20" s="178" t="str">
        <f>Расчет!C263</f>
        <v>Участие в выставках, конференциях, бизнес-миссиях</v>
      </c>
      <c r="D20" s="175" t="s">
        <v>12</v>
      </c>
      <c r="E20" s="33">
        <f ca="1">Расчет!E263</f>
        <v>7835230.1934271976</v>
      </c>
      <c r="F20" s="168"/>
      <c r="G20" s="168"/>
      <c r="H20" s="33">
        <f ca="1">Расчет!H263</f>
        <v>2330445.7743421071</v>
      </c>
      <c r="I20" s="33">
        <f ca="1">Расчет!I263</f>
        <v>288778.72515564749</v>
      </c>
      <c r="J20" s="33">
        <f ca="1">Расчет!J263</f>
        <v>2338149.9724795967</v>
      </c>
      <c r="K20" s="33">
        <f ca="1">Расчет!K263</f>
        <v>289733.39594910061</v>
      </c>
      <c r="L20" s="33">
        <f ca="1">Расчет!L263</f>
        <v>2345879.6398511678</v>
      </c>
      <c r="M20" s="33">
        <f ca="1">Расчет!M263</f>
        <v>242242.68564957753</v>
      </c>
      <c r="N20" s="33">
        <f ca="1">Расчет!N263</f>
        <v>0</v>
      </c>
      <c r="O20" s="33">
        <f ca="1">Расчет!O263</f>
        <v>0</v>
      </c>
      <c r="P20" s="33">
        <f ca="1">Расчет!P263</f>
        <v>0</v>
      </c>
      <c r="Q20" s="33">
        <f ca="1">Расчет!Q263</f>
        <v>0</v>
      </c>
      <c r="R20" s="33">
        <f ca="1">Расчет!R263</f>
        <v>0</v>
      </c>
      <c r="S20" s="33">
        <f ca="1">Расчет!S263</f>
        <v>0</v>
      </c>
    </row>
    <row r="21" spans="1:19" s="154" customFormat="1" x14ac:dyDescent="0.25">
      <c r="A21" s="151"/>
      <c r="B21" s="151"/>
      <c r="C21" s="178" t="str">
        <f>Расчет!C264</f>
        <v>Тестовая партия (испытания, рекламные акции)</v>
      </c>
      <c r="D21" s="175" t="s">
        <v>12</v>
      </c>
      <c r="E21" s="33">
        <f ca="1">Расчет!E264</f>
        <v>2141490.2557093347</v>
      </c>
      <c r="F21" s="168"/>
      <c r="G21" s="168"/>
      <c r="H21" s="33">
        <f ca="1">Расчет!H264</f>
        <v>705911.7281102204</v>
      </c>
      <c r="I21" s="33">
        <f ca="1">Расчет!I264</f>
        <v>0</v>
      </c>
      <c r="J21" s="33">
        <f ca="1">Расчет!J264</f>
        <v>713800.69731505821</v>
      </c>
      <c r="K21" s="33">
        <f ca="1">Расчет!K264</f>
        <v>0</v>
      </c>
      <c r="L21" s="33">
        <f ca="1">Расчет!L264</f>
        <v>721777.83028405614</v>
      </c>
      <c r="M21" s="33">
        <f ca="1">Расчет!M264</f>
        <v>0</v>
      </c>
      <c r="N21" s="33">
        <f ca="1">Расчет!N264</f>
        <v>0</v>
      </c>
      <c r="O21" s="33">
        <f ca="1">Расчет!O264</f>
        <v>0</v>
      </c>
      <c r="P21" s="33">
        <f ca="1">Расчет!P264</f>
        <v>0</v>
      </c>
      <c r="Q21" s="33">
        <f ca="1">Расчет!Q264</f>
        <v>0</v>
      </c>
      <c r="R21" s="33">
        <f ca="1">Расчет!R264</f>
        <v>0</v>
      </c>
      <c r="S21" s="33">
        <f ca="1">Расчет!S264</f>
        <v>0</v>
      </c>
    </row>
    <row r="22" spans="1:19" s="154" customFormat="1" x14ac:dyDescent="0.25">
      <c r="A22" s="151"/>
      <c r="B22" s="151"/>
      <c r="C22" s="178" t="str">
        <f>Расчет!C265</f>
        <v>Создание сайта на языке страны экспорта</v>
      </c>
      <c r="D22" s="175" t="s">
        <v>12</v>
      </c>
      <c r="E22" s="33">
        <f ca="1">Расчет!E265</f>
        <v>266173.68833894772</v>
      </c>
      <c r="F22" s="168"/>
      <c r="G22" s="168"/>
      <c r="H22" s="33">
        <f ca="1">Расчет!H265</f>
        <v>22058.170793114627</v>
      </c>
      <c r="I22" s="33">
        <f ca="1">Расчет!I265</f>
        <v>22094.601655551098</v>
      </c>
      <c r="J22" s="33">
        <f ca="1">Расчет!J265</f>
        <v>33196.639029778169</v>
      </c>
      <c r="K22" s="33">
        <f ca="1">Расчет!K265</f>
        <v>33251.465978086344</v>
      </c>
      <c r="L22" s="33">
        <f ca="1">Расчет!L265</f>
        <v>68833.192520284865</v>
      </c>
      <c r="M22" s="33">
        <f ca="1">Расчет!M265</f>
        <v>86739.618362132605</v>
      </c>
      <c r="N22" s="33">
        <f ca="1">Расчет!N265</f>
        <v>0</v>
      </c>
      <c r="O22" s="33">
        <f ca="1">Расчет!O265</f>
        <v>0</v>
      </c>
      <c r="P22" s="33">
        <f ca="1">Расчет!P265</f>
        <v>0</v>
      </c>
      <c r="Q22" s="33">
        <f ca="1">Расчет!Q265</f>
        <v>0</v>
      </c>
      <c r="R22" s="33">
        <f ca="1">Расчет!R265</f>
        <v>0</v>
      </c>
      <c r="S22" s="33">
        <f ca="1">Расчет!S265</f>
        <v>0</v>
      </c>
    </row>
    <row r="23" spans="1:19" s="154" customFormat="1" x14ac:dyDescent="0.25">
      <c r="A23" s="151"/>
      <c r="B23" s="151"/>
      <c r="C23" s="178" t="str">
        <f>Расчет!C266</f>
        <v>Подготовка рекламных материалов</v>
      </c>
      <c r="D23" s="175" t="s">
        <v>12</v>
      </c>
      <c r="E23" s="33">
        <f ca="1">Расчет!E266</f>
        <v>2036537.0294825912</v>
      </c>
      <c r="F23" s="168"/>
      <c r="G23" s="168"/>
      <c r="H23" s="33">
        <f ca="1">Расчет!H266</f>
        <v>502786.13113263558</v>
      </c>
      <c r="I23" s="33">
        <f ca="1">Расчет!I266</f>
        <v>168529.2624395492</v>
      </c>
      <c r="J23" s="33">
        <f ca="1">Расчет!J266</f>
        <v>508405.05506770528</v>
      </c>
      <c r="K23" s="33">
        <f ca="1">Расчет!K266</f>
        <v>170412.67379051071</v>
      </c>
      <c r="L23" s="33">
        <f ca="1">Расчет!L266</f>
        <v>514086.77370659274</v>
      </c>
      <c r="M23" s="33">
        <f ca="1">Расчет!M266</f>
        <v>172317.13334559766</v>
      </c>
      <c r="N23" s="33">
        <f ca="1">Расчет!N266</f>
        <v>0</v>
      </c>
      <c r="O23" s="33">
        <f ca="1">Расчет!O266</f>
        <v>0</v>
      </c>
      <c r="P23" s="33">
        <f ca="1">Расчет!P266</f>
        <v>0</v>
      </c>
      <c r="Q23" s="33">
        <f ca="1">Расчет!Q266</f>
        <v>0</v>
      </c>
      <c r="R23" s="33">
        <f ca="1">Расчет!R266</f>
        <v>0</v>
      </c>
      <c r="S23" s="33">
        <f ca="1">Расчет!S266</f>
        <v>0</v>
      </c>
    </row>
    <row r="24" spans="1:19" s="154" customFormat="1" x14ac:dyDescent="0.25">
      <c r="A24" s="151"/>
      <c r="B24" s="151"/>
      <c r="C24" s="178" t="str">
        <f>Расчет!C267</f>
        <v>Услуги по найму дополнительного персонала</v>
      </c>
      <c r="D24" s="175" t="s">
        <v>12</v>
      </c>
      <c r="E24" s="33">
        <f ca="1">Расчет!E267</f>
        <v>361570.89622025122</v>
      </c>
      <c r="F24" s="168"/>
      <c r="G24" s="168"/>
      <c r="H24" s="33">
        <f ca="1">Расчет!H267</f>
        <v>120126.07084237671</v>
      </c>
      <c r="I24" s="33">
        <f ca="1">Расчет!I267</f>
        <v>0</v>
      </c>
      <c r="J24" s="33">
        <f ca="1">Расчет!J267</f>
        <v>120523.19445771119</v>
      </c>
      <c r="K24" s="33">
        <f ca="1">Расчет!K267</f>
        <v>0</v>
      </c>
      <c r="L24" s="33">
        <f ca="1">Расчет!L267</f>
        <v>120921.63092016331</v>
      </c>
      <c r="M24" s="33">
        <f ca="1">Расчет!M267</f>
        <v>0</v>
      </c>
      <c r="N24" s="33">
        <f ca="1">Расчет!N267</f>
        <v>0</v>
      </c>
      <c r="O24" s="33">
        <f ca="1">Расчет!O267</f>
        <v>0</v>
      </c>
      <c r="P24" s="33">
        <f ca="1">Расчет!P267</f>
        <v>0</v>
      </c>
      <c r="Q24" s="33">
        <f ca="1">Расчет!Q267</f>
        <v>0</v>
      </c>
      <c r="R24" s="33">
        <f ca="1">Расчет!R267</f>
        <v>0</v>
      </c>
      <c r="S24" s="33">
        <f ca="1">Расчет!S267</f>
        <v>0</v>
      </c>
    </row>
    <row r="25" spans="1:19" s="154" customFormat="1" x14ac:dyDescent="0.25">
      <c r="A25" s="151"/>
      <c r="B25" s="151"/>
      <c r="C25" s="178" t="str">
        <f>Расчет!C268</f>
        <v>Закупка специализированного программного обеспечения</v>
      </c>
      <c r="D25" s="175" t="s">
        <v>12</v>
      </c>
      <c r="E25" s="33">
        <f ca="1">Расчет!E268</f>
        <v>15465.572606150785</v>
      </c>
      <c r="F25" s="168"/>
      <c r="G25" s="168"/>
      <c r="H25" s="33">
        <f ca="1">Расчет!H268</f>
        <v>0</v>
      </c>
      <c r="I25" s="33">
        <f ca="1">Расчет!I268</f>
        <v>0</v>
      </c>
      <c r="J25" s="33">
        <f ca="1">Расчет!J268</f>
        <v>0</v>
      </c>
      <c r="K25" s="33">
        <f ca="1">Расчет!K268</f>
        <v>0</v>
      </c>
      <c r="L25" s="33">
        <f ca="1">Расчет!L268</f>
        <v>7711.301605598891</v>
      </c>
      <c r="M25" s="33">
        <f ca="1">Расчет!M268</f>
        <v>7754.2710005518948</v>
      </c>
      <c r="N25" s="33">
        <f ca="1">Расчет!N268</f>
        <v>0</v>
      </c>
      <c r="O25" s="33">
        <f ca="1">Расчет!O268</f>
        <v>0</v>
      </c>
      <c r="P25" s="33">
        <f ca="1">Расчет!P268</f>
        <v>0</v>
      </c>
      <c r="Q25" s="33">
        <f ca="1">Расчет!Q268</f>
        <v>0</v>
      </c>
      <c r="R25" s="33">
        <f ca="1">Расчет!R268</f>
        <v>0</v>
      </c>
      <c r="S25" s="33">
        <f ca="1">Расчет!S268</f>
        <v>0</v>
      </c>
    </row>
    <row r="26" spans="1:19" s="154" customFormat="1" x14ac:dyDescent="0.25">
      <c r="A26" s="151"/>
      <c r="B26" s="151"/>
      <c r="C26" s="178" t="str">
        <f>Расчет!C269</f>
        <v>Создание юридического лица, открытие р/с</v>
      </c>
      <c r="D26" s="175" t="s">
        <v>12</v>
      </c>
      <c r="E26" s="33">
        <f ca="1">Расчет!E269</f>
        <v>222079.22865050531</v>
      </c>
      <c r="F26" s="168"/>
      <c r="G26" s="168"/>
      <c r="H26" s="33">
        <f ca="1">Расчет!H269</f>
        <v>0</v>
      </c>
      <c r="I26" s="33">
        <f ca="1">Расчет!I269</f>
        <v>0</v>
      </c>
      <c r="J26" s="33">
        <f ca="1">Расчет!J269</f>
        <v>0</v>
      </c>
      <c r="K26" s="33">
        <f ca="1">Расчет!K269</f>
        <v>0</v>
      </c>
      <c r="L26" s="33">
        <f ca="1">Расчет!L269</f>
        <v>199838.3008653431</v>
      </c>
      <c r="M26" s="33">
        <f ca="1">Расчет!M269</f>
        <v>22240.927785162203</v>
      </c>
      <c r="N26" s="33">
        <f ca="1">Расчет!N269</f>
        <v>0</v>
      </c>
      <c r="O26" s="33">
        <f ca="1">Расчет!O269</f>
        <v>0</v>
      </c>
      <c r="P26" s="33">
        <f ca="1">Расчет!P269</f>
        <v>0</v>
      </c>
      <c r="Q26" s="33">
        <f ca="1">Расчет!Q269</f>
        <v>0</v>
      </c>
      <c r="R26" s="33">
        <f ca="1">Расчет!R269</f>
        <v>0</v>
      </c>
      <c r="S26" s="33">
        <f ca="1">Расчет!S269</f>
        <v>0</v>
      </c>
    </row>
    <row r="27" spans="1:19" s="154" customFormat="1" x14ac:dyDescent="0.25">
      <c r="A27" s="151"/>
      <c r="B27" s="151"/>
      <c r="C27" s="178" t="str">
        <f>Расчет!C270</f>
        <v>Поиск партнеров</v>
      </c>
      <c r="D27" s="175" t="s">
        <v>12</v>
      </c>
      <c r="E27" s="33">
        <f ca="1">Расчет!E270</f>
        <v>24144.581164053714</v>
      </c>
      <c r="F27" s="168"/>
      <c r="G27" s="168"/>
      <c r="H27" s="33">
        <f ca="1">Расчет!H270</f>
        <v>3432.1734526393343</v>
      </c>
      <c r="I27" s="33">
        <f ca="1">Расчет!I270</f>
        <v>3437.8419661386597</v>
      </c>
      <c r="J27" s="33">
        <f ca="1">Расчет!J270</f>
        <v>3443.5198416488915</v>
      </c>
      <c r="K27" s="33">
        <f ca="1">Расчет!K270</f>
        <v>3449.2070946321501</v>
      </c>
      <c r="L27" s="33">
        <f ca="1">Расчет!L270</f>
        <v>3454.9037405760951</v>
      </c>
      <c r="M27" s="33">
        <f ca="1">Расчет!M270</f>
        <v>3460.6097949939654</v>
      </c>
      <c r="N27" s="33">
        <f ca="1">Расчет!N270</f>
        <v>3466.3252734246189</v>
      </c>
      <c r="O27" s="33">
        <f ca="1">Расчет!O270</f>
        <v>0</v>
      </c>
      <c r="P27" s="33">
        <f ca="1">Расчет!P270</f>
        <v>0</v>
      </c>
      <c r="Q27" s="33">
        <f ca="1">Расчет!Q270</f>
        <v>0</v>
      </c>
      <c r="R27" s="33">
        <f ca="1">Расчет!R270</f>
        <v>0</v>
      </c>
      <c r="S27" s="33">
        <f ca="1">Расчет!S270</f>
        <v>0</v>
      </c>
    </row>
    <row r="28" spans="1:19" s="154" customFormat="1" x14ac:dyDescent="0.25">
      <c r="A28" s="151"/>
      <c r="B28" s="151"/>
      <c r="C28" s="178" t="str">
        <f>Расчет!C271</f>
        <v>Оплата труда персонала и услуг сторонних организаций</v>
      </c>
      <c r="D28" s="175" t="s">
        <v>12</v>
      </c>
      <c r="E28" s="33">
        <f ca="1">Расчет!E271</f>
        <v>4844007.1620209953</v>
      </c>
      <c r="F28" s="168"/>
      <c r="G28" s="168"/>
      <c r="H28" s="33">
        <f ca="1">Расчет!H271</f>
        <v>242639.8787242609</v>
      </c>
      <c r="I28" s="33">
        <f ca="1">Расчет!I271</f>
        <v>633457.99967687903</v>
      </c>
      <c r="J28" s="33">
        <f ca="1">Расчет!J271</f>
        <v>788337.29117641528</v>
      </c>
      <c r="K28" s="33">
        <f ca="1">Расчет!K271</f>
        <v>790994.73424045974</v>
      </c>
      <c r="L28" s="33">
        <f ca="1">Расчет!L271</f>
        <v>793664.11915457901</v>
      </c>
      <c r="M28" s="33">
        <f ca="1">Расчет!M271</f>
        <v>796345.50772826315</v>
      </c>
      <c r="N28" s="33">
        <f ca="1">Расчет!N271</f>
        <v>798567.63132013823</v>
      </c>
      <c r="O28" s="33">
        <f ca="1">Расчет!O271</f>
        <v>0</v>
      </c>
      <c r="P28" s="33">
        <f ca="1">Расчет!P271</f>
        <v>0</v>
      </c>
      <c r="Q28" s="33">
        <f ca="1">Расчет!Q271</f>
        <v>0</v>
      </c>
      <c r="R28" s="33">
        <f ca="1">Расчет!R271</f>
        <v>0</v>
      </c>
      <c r="S28" s="33">
        <f ca="1">Расчет!S271</f>
        <v>0</v>
      </c>
    </row>
    <row r="29" spans="1:19" s="154" customFormat="1" x14ac:dyDescent="0.25">
      <c r="A29" s="151"/>
      <c r="B29" s="151"/>
      <c r="C29" s="155"/>
      <c r="D29" s="176"/>
      <c r="E29" s="157"/>
      <c r="F29" s="156"/>
      <c r="G29" s="156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</row>
    <row r="30" spans="1:19" s="154" customFormat="1" ht="15.75" x14ac:dyDescent="0.25">
      <c r="A30" s="151"/>
      <c r="B30" s="151"/>
      <c r="C30" s="177" t="s">
        <v>319</v>
      </c>
      <c r="D30" s="175"/>
      <c r="E30" s="179">
        <f ca="1">Расчет!E273</f>
        <v>45002195.413574561</v>
      </c>
      <c r="F30" s="167"/>
      <c r="G30" s="167"/>
      <c r="H30" s="166">
        <f ca="1">Расчет!H273</f>
        <v>5480737.77228247</v>
      </c>
      <c r="I30" s="158">
        <f ca="1">Расчет!I273</f>
        <v>2750350.0226571569</v>
      </c>
      <c r="J30" s="158">
        <f ca="1">Расчет!J273</f>
        <v>7923338.0075716255</v>
      </c>
      <c r="K30" s="158">
        <f ca="1">Расчет!K273</f>
        <v>4110824.5048990273</v>
      </c>
      <c r="L30" s="158">
        <f ca="1">Расчет!L273</f>
        <v>6913314.6065866984</v>
      </c>
      <c r="M30" s="158">
        <f ca="1">Расчет!M273</f>
        <v>13382069.35882535</v>
      </c>
      <c r="N30" s="158">
        <f ca="1">Расчет!N273</f>
        <v>4441561.1407522336</v>
      </c>
      <c r="O30" s="158">
        <f ca="1">Расчет!O273</f>
        <v>0</v>
      </c>
      <c r="P30" s="158">
        <f ca="1">Расчет!P273</f>
        <v>0</v>
      </c>
      <c r="Q30" s="158">
        <f ca="1">Расчет!Q273</f>
        <v>0</v>
      </c>
      <c r="R30" s="158">
        <f ca="1">Расчет!R273</f>
        <v>0</v>
      </c>
      <c r="S30" s="158">
        <f ca="1">Расчет!S273</f>
        <v>0</v>
      </c>
    </row>
    <row r="31" spans="1:19" ht="16.5" x14ac:dyDescent="0.25">
      <c r="C31" s="9"/>
      <c r="D31" s="12"/>
    </row>
    <row r="32" spans="1:19" ht="15.75" x14ac:dyDescent="0.25">
      <c r="A32" s="38"/>
      <c r="B32" s="38" t="s">
        <v>305</v>
      </c>
      <c r="C32" s="38"/>
      <c r="D32" s="36"/>
      <c r="E32" s="36"/>
      <c r="F32" s="38"/>
      <c r="G32" s="38"/>
      <c r="H32" s="38"/>
      <c r="I32" s="38"/>
      <c r="J32" s="38"/>
      <c r="K32" s="38"/>
      <c r="L32" s="38" t="s">
        <v>165</v>
      </c>
      <c r="M32" s="38"/>
      <c r="N32" s="38"/>
      <c r="O32" s="38"/>
      <c r="P32" s="38"/>
      <c r="Q32" s="38"/>
      <c r="R32" s="38"/>
      <c r="S32" s="38"/>
    </row>
    <row r="33" spans="1:22" ht="15" customHeight="1" x14ac:dyDescent="0.25">
      <c r="A33" s="66"/>
      <c r="C33" s="21"/>
      <c r="G33" s="16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16"/>
      <c r="U33" s="24"/>
      <c r="V33" s="16"/>
    </row>
    <row r="34" spans="1:22" ht="15" customHeight="1" x14ac:dyDescent="0.25">
      <c r="A34" s="66"/>
      <c r="C34" s="21"/>
      <c r="G34" s="16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16"/>
      <c r="U34" s="24"/>
      <c r="V34" s="16"/>
    </row>
    <row r="35" spans="1:22" ht="15" customHeight="1" x14ac:dyDescent="0.25">
      <c r="A35" s="180">
        <v>0</v>
      </c>
      <c r="B35" s="169" t="str">
        <f ca="1">INDIRECT("Расчет!"&amp;"C"&amp;ROW(Расчет!$C$295)-A35)</f>
        <v>Закупка специализированного программного обеспечения</v>
      </c>
      <c r="C35" s="21"/>
      <c r="G35" s="16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16"/>
      <c r="U35" s="24"/>
      <c r="V35" s="16"/>
    </row>
    <row r="36" spans="1:22" ht="15" customHeight="1" x14ac:dyDescent="0.25">
      <c r="A36" s="180">
        <v>1</v>
      </c>
      <c r="B36" s="169" t="str">
        <f ca="1">INDIRECT("Расчет!"&amp;"C"&amp;ROW(Расчет!$C$295)-A36)</f>
        <v>Поиск партнеров</v>
      </c>
      <c r="C36" s="21"/>
      <c r="G36" s="16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16"/>
      <c r="U36" s="24"/>
      <c r="V36" s="16"/>
    </row>
    <row r="37" spans="1:22" ht="15" customHeight="1" x14ac:dyDescent="0.25">
      <c r="A37" s="180">
        <v>2</v>
      </c>
      <c r="B37" s="169" t="str">
        <f ca="1">INDIRECT("Расчет!"&amp;"C"&amp;ROW(Расчет!$C$295)-A37)</f>
        <v>Аренда основных средств на стадии подготовки проекта</v>
      </c>
      <c r="C37" s="21"/>
      <c r="G37" s="16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16"/>
      <c r="U37" s="24"/>
      <c r="V37" s="16"/>
    </row>
    <row r="38" spans="1:22" ht="15" customHeight="1" x14ac:dyDescent="0.25">
      <c r="A38" s="180">
        <v>3</v>
      </c>
      <c r="B38" s="169" t="str">
        <f ca="1">INDIRECT("Расчет!"&amp;"C"&amp;ROW(Расчет!$C$295)-A38)</f>
        <v>Сертификация продукта</v>
      </c>
      <c r="C38" s="21"/>
      <c r="G38" s="16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16"/>
      <c r="U38" s="24"/>
      <c r="V38" s="16"/>
    </row>
    <row r="39" spans="1:22" ht="15" customHeight="1" x14ac:dyDescent="0.25">
      <c r="A39" s="180">
        <v>4</v>
      </c>
      <c r="B39" s="169" t="str">
        <f ca="1">INDIRECT("Расчет!"&amp;"C"&amp;ROW(Расчет!$C$295)-A39)</f>
        <v>Создание юридического лица, открытие р/с</v>
      </c>
      <c r="C39" s="21"/>
      <c r="G39" s="16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16"/>
      <c r="U39" s="24"/>
      <c r="V39" s="16"/>
    </row>
    <row r="40" spans="1:22" ht="15" customHeight="1" x14ac:dyDescent="0.25">
      <c r="A40" s="180">
        <v>5</v>
      </c>
      <c r="B40" s="169" t="str">
        <f ca="1">INDIRECT("Расчет!"&amp;"C"&amp;ROW(Расчет!$C$295)-A40)</f>
        <v>Создание сайта на языке страны экспорта</v>
      </c>
      <c r="C40" s="21"/>
      <c r="G40" s="16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16"/>
      <c r="U40" s="24"/>
      <c r="V40" s="16"/>
    </row>
    <row r="41" spans="1:22" ht="15" customHeight="1" x14ac:dyDescent="0.25">
      <c r="A41" s="180">
        <v>6</v>
      </c>
      <c r="B41" s="169" t="str">
        <f ca="1">INDIRECT("Расчет!"&amp;"C"&amp;ROW(Расчет!$C$295)-A41)</f>
        <v>Услуги по найму дополнительного персонала</v>
      </c>
      <c r="C41" s="21"/>
      <c r="G41" s="16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16"/>
      <c r="U41" s="24"/>
      <c r="V41" s="16"/>
    </row>
    <row r="42" spans="1:22" ht="15" customHeight="1" x14ac:dyDescent="0.25">
      <c r="A42" s="180">
        <v>7</v>
      </c>
      <c r="B42" s="169" t="str">
        <f ca="1">INDIRECT("Расчет!"&amp;"C"&amp;ROW(Расчет!$C$295)-A42)</f>
        <v>Защита исключительных прав</v>
      </c>
      <c r="C42" s="21"/>
      <c r="G42" s="16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16"/>
      <c r="U42" s="24"/>
      <c r="V42" s="16"/>
    </row>
    <row r="43" spans="1:22" ht="15" customHeight="1" x14ac:dyDescent="0.25">
      <c r="A43" s="180">
        <v>8</v>
      </c>
      <c r="B43" s="169" t="str">
        <f ca="1">INDIRECT("Расчет!"&amp;"C"&amp;ROW(Расчет!$C$295)-A43)</f>
        <v>Расходы на подготовку производства</v>
      </c>
      <c r="C43" s="21"/>
      <c r="G43" s="16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16"/>
      <c r="U43" s="24"/>
      <c r="V43" s="16"/>
    </row>
    <row r="44" spans="1:22" ht="15" customHeight="1" x14ac:dyDescent="0.25">
      <c r="A44" s="180">
        <v>9</v>
      </c>
      <c r="B44" s="169" t="str">
        <f ca="1">INDIRECT("Расчет!"&amp;"C"&amp;ROW(Расчет!$C$295)-A44)</f>
        <v>Пусковые расходы</v>
      </c>
      <c r="C44" s="21"/>
      <c r="G44" s="16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16"/>
      <c r="U44" s="24"/>
      <c r="V44" s="16"/>
    </row>
    <row r="45" spans="1:22" ht="15" customHeight="1" x14ac:dyDescent="0.25">
      <c r="A45" s="180">
        <v>10</v>
      </c>
      <c r="B45" s="169" t="str">
        <f ca="1">INDIRECT("Расчет!"&amp;"C"&amp;ROW(Расчет!$C$295)-A45)</f>
        <v>Анализ рынка продукта</v>
      </c>
      <c r="C45" s="21"/>
      <c r="G45" s="16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16"/>
      <c r="U45" s="24"/>
      <c r="V45" s="16"/>
    </row>
    <row r="46" spans="1:22" ht="15" customHeight="1" x14ac:dyDescent="0.25">
      <c r="A46" s="180">
        <v>11</v>
      </c>
      <c r="B46" s="169" t="str">
        <f ca="1">INDIRECT("Расчет!"&amp;"C"&amp;ROW(Расчет!$C$295)-A46)</f>
        <v>Закупка основных средств: помещение</v>
      </c>
      <c r="C46" s="21"/>
      <c r="G46" s="16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16"/>
      <c r="U46" s="24"/>
      <c r="V46" s="16"/>
    </row>
    <row r="47" spans="1:22" ht="15" customHeight="1" x14ac:dyDescent="0.25">
      <c r="A47" s="180">
        <v>12</v>
      </c>
      <c r="B47" s="169" t="str">
        <f ca="1">INDIRECT("Расчет!"&amp;"C"&amp;ROW(Расчет!$C$295)-A47)</f>
        <v>Подготовка рекламных материалов</v>
      </c>
      <c r="C47" s="21"/>
      <c r="G47" s="16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16"/>
      <c r="U47" s="24"/>
      <c r="V47" s="16"/>
    </row>
    <row r="48" spans="1:22" ht="15" customHeight="1" x14ac:dyDescent="0.25">
      <c r="A48" s="180">
        <v>13</v>
      </c>
      <c r="B48" s="169" t="str">
        <f ca="1">INDIRECT("Расчет!"&amp;"C"&amp;ROW(Расчет!$C$295)-A48)</f>
        <v>Тестовая партия (испытания, рекламные акции)</v>
      </c>
      <c r="C48" s="21"/>
      <c r="G48" s="16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16"/>
      <c r="U48" s="24"/>
      <c r="V48" s="16"/>
    </row>
    <row r="49" spans="1:22" ht="15" customHeight="1" x14ac:dyDescent="0.25">
      <c r="A49" s="180">
        <v>14</v>
      </c>
      <c r="B49" s="169" t="str">
        <f ca="1">INDIRECT("Расчет!"&amp;"C"&amp;ROW(Расчет!$C$295)-A49)</f>
        <v>Закупка основных средств: оборудование</v>
      </c>
      <c r="C49" s="21"/>
      <c r="G49" s="16"/>
      <c r="H49" s="43"/>
      <c r="I49" s="172"/>
      <c r="J49" s="172"/>
      <c r="K49" s="43"/>
      <c r="L49" s="43"/>
      <c r="M49" s="43"/>
      <c r="N49" s="43"/>
      <c r="O49" s="43"/>
      <c r="P49" s="43"/>
      <c r="Q49" s="43"/>
      <c r="R49" s="43"/>
      <c r="S49" s="43"/>
      <c r="T49" s="16"/>
      <c r="U49" s="24"/>
      <c r="V49" s="16"/>
    </row>
    <row r="50" spans="1:22" ht="15" customHeight="1" x14ac:dyDescent="0.25">
      <c r="A50" s="180">
        <v>15</v>
      </c>
      <c r="B50" s="169" t="str">
        <f ca="1">INDIRECT("Расчет!"&amp;"C"&amp;ROW(Расчет!$C$295)-A50)</f>
        <v>Адаптация продукта</v>
      </c>
      <c r="C50" s="21"/>
      <c r="G50" s="16"/>
      <c r="H50" s="43"/>
      <c r="I50" s="43"/>
      <c r="J50" s="43"/>
      <c r="K50" s="82" t="s">
        <v>166</v>
      </c>
      <c r="L50" s="82"/>
      <c r="M50" s="82"/>
      <c r="N50" s="43"/>
      <c r="O50" s="172"/>
      <c r="P50" s="82" t="s">
        <v>167</v>
      </c>
      <c r="Q50" s="82"/>
      <c r="R50" s="82"/>
      <c r="S50" s="43"/>
      <c r="T50" s="16"/>
      <c r="U50" s="24"/>
      <c r="V50" s="16"/>
    </row>
    <row r="51" spans="1:22" ht="15" customHeight="1" x14ac:dyDescent="0.25">
      <c r="A51" s="180">
        <v>16</v>
      </c>
      <c r="B51" s="169" t="str">
        <f ca="1">INDIRECT("Расчет!"&amp;"C"&amp;ROW(Расчет!$C$295)-A51)</f>
        <v>Оплата труда персонала и услуг сторонних организаций</v>
      </c>
      <c r="C51" s="21"/>
      <c r="G51" s="16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16"/>
      <c r="U51" s="24"/>
      <c r="V51" s="16"/>
    </row>
    <row r="52" spans="1:22" ht="15" customHeight="1" x14ac:dyDescent="0.25">
      <c r="A52" s="180">
        <v>17</v>
      </c>
      <c r="B52" s="169" t="str">
        <f ca="1">INDIRECT("Расчет!"&amp;"C"&amp;ROW(Расчет!$C$295)-A52)</f>
        <v>Закупка основных средств: земельный участок</v>
      </c>
      <c r="C52" s="21"/>
      <c r="G52" s="16"/>
      <c r="H52" s="43"/>
      <c r="I52" s="43"/>
      <c r="J52" s="43"/>
      <c r="K52" s="43"/>
      <c r="L52" s="43"/>
      <c r="M52" s="43"/>
      <c r="N52" s="43"/>
      <c r="P52" s="80" t="str">
        <f>Расчет!$D$227</f>
        <v>RUB</v>
      </c>
      <c r="Q52" s="171">
        <f ca="1">Расчет!$E$235</f>
        <v>31958333.02732515</v>
      </c>
      <c r="R52" s="43"/>
      <c r="S52" s="43"/>
      <c r="T52" s="16"/>
      <c r="U52" s="24"/>
      <c r="V52" s="16"/>
    </row>
    <row r="53" spans="1:22" ht="15" customHeight="1" x14ac:dyDescent="0.25">
      <c r="A53" s="180">
        <v>18</v>
      </c>
      <c r="B53" s="169" t="str">
        <f ca="1">INDIRECT("Расчет!"&amp;"C"&amp;ROW(Расчет!$C$295)-A53)</f>
        <v>Участие в выставках, конференциях, бизнес-миссиях</v>
      </c>
      <c r="C53" s="21"/>
      <c r="G53" s="16"/>
      <c r="H53" s="43"/>
      <c r="I53" s="43"/>
      <c r="J53" s="43"/>
      <c r="K53" s="43"/>
      <c r="L53" s="43"/>
      <c r="M53" s="43"/>
      <c r="N53" s="43"/>
      <c r="P53" s="78"/>
      <c r="Q53" s="79"/>
      <c r="R53" s="68"/>
      <c r="S53" s="43"/>
      <c r="T53" s="16"/>
      <c r="U53" s="24"/>
      <c r="V53" s="16"/>
    </row>
    <row r="54" spans="1:22" ht="15" customHeight="1" x14ac:dyDescent="0.25">
      <c r="A54" s="180">
        <v>19</v>
      </c>
      <c r="B54" s="169" t="str">
        <f ca="1">INDIRECT("Расчет!"&amp;"C"&amp;ROW(Расчет!$C$295)-A54)</f>
        <v>НИОКР</v>
      </c>
      <c r="C54" s="21"/>
      <c r="G54" s="16"/>
      <c r="H54" s="43"/>
      <c r="I54" s="43"/>
      <c r="J54" s="43"/>
      <c r="K54" s="43"/>
      <c r="L54" s="43"/>
      <c r="M54" s="43"/>
      <c r="N54" s="43"/>
      <c r="P54" s="80" t="str">
        <f>Расчет!$D$229</f>
        <v>AED</v>
      </c>
      <c r="Q54" s="171">
        <f>Расчет!$E$237</f>
        <v>393051.38923748443</v>
      </c>
      <c r="R54" s="68"/>
      <c r="S54" s="43"/>
      <c r="T54" s="16"/>
      <c r="U54" s="24"/>
      <c r="V54" s="16"/>
    </row>
    <row r="55" spans="1:22" ht="15" customHeight="1" x14ac:dyDescent="0.25">
      <c r="A55" s="66"/>
      <c r="B55" s="163"/>
      <c r="C55" s="21"/>
      <c r="G55" s="16"/>
      <c r="H55" s="43"/>
      <c r="I55" s="43"/>
      <c r="J55" s="43"/>
      <c r="K55" s="43"/>
      <c r="L55" s="43"/>
      <c r="M55" s="43"/>
      <c r="N55" s="43"/>
      <c r="P55" s="78"/>
      <c r="Q55" s="79"/>
      <c r="R55" s="68"/>
      <c r="S55" s="43"/>
      <c r="T55" s="16"/>
      <c r="U55" s="24"/>
      <c r="V55" s="16"/>
    </row>
    <row r="56" spans="1:22" ht="15" customHeight="1" x14ac:dyDescent="0.25">
      <c r="A56" s="66"/>
      <c r="C56" s="21"/>
      <c r="G56" s="16"/>
      <c r="H56" s="43"/>
      <c r="I56" s="43"/>
      <c r="J56" s="43"/>
      <c r="K56" s="43"/>
      <c r="L56" s="43"/>
      <c r="M56" s="43"/>
      <c r="N56" s="43"/>
      <c r="P56" s="80" t="str">
        <f>Расчет!$D$231</f>
        <v>USD</v>
      </c>
      <c r="Q56" s="171">
        <f>Расчет!$E$239</f>
        <v>57843.528541347456</v>
      </c>
      <c r="R56" s="68"/>
      <c r="S56" s="43"/>
      <c r="T56" s="16"/>
      <c r="U56" s="24"/>
      <c r="V56" s="16"/>
    </row>
    <row r="57" spans="1:22" ht="15" customHeight="1" x14ac:dyDescent="0.25">
      <c r="A57" s="66"/>
      <c r="C57" s="21"/>
      <c r="G57" s="16"/>
      <c r="H57" s="43"/>
      <c r="I57" s="43"/>
      <c r="J57" s="43"/>
      <c r="K57" s="43"/>
      <c r="L57" s="43"/>
      <c r="M57" s="43"/>
      <c r="N57" s="43"/>
      <c r="P57" s="78"/>
      <c r="Q57" s="79"/>
      <c r="R57" s="68"/>
      <c r="S57" s="43"/>
      <c r="T57" s="16"/>
      <c r="U57" s="24"/>
      <c r="V57" s="16"/>
    </row>
    <row r="58" spans="1:22" ht="15" customHeight="1" x14ac:dyDescent="0.25">
      <c r="A58" s="66"/>
      <c r="C58" s="21"/>
      <c r="G58" s="16"/>
      <c r="H58" s="43"/>
      <c r="I58" s="43"/>
      <c r="J58" s="43"/>
      <c r="K58" s="43"/>
      <c r="L58" s="43"/>
      <c r="M58" s="43"/>
      <c r="N58" s="43"/>
      <c r="P58" s="80" t="str">
        <f>Расчет!$D$233</f>
        <v>CNY</v>
      </c>
      <c r="Q58" s="171">
        <f>Расчет!$E$241</f>
        <v>252349.30938200117</v>
      </c>
      <c r="R58" s="68"/>
      <c r="S58" s="43"/>
      <c r="T58" s="16"/>
      <c r="U58" s="24"/>
      <c r="V58" s="16"/>
    </row>
    <row r="59" spans="1:22" ht="15" customHeight="1" x14ac:dyDescent="0.25">
      <c r="J59" s="43"/>
      <c r="K59" s="43"/>
      <c r="L59" s="43"/>
      <c r="M59" s="43"/>
      <c r="N59" s="43"/>
      <c r="O59" s="78"/>
      <c r="P59" s="79"/>
      <c r="Q59" s="79"/>
      <c r="R59" s="68"/>
      <c r="S59" s="43"/>
      <c r="T59" s="16"/>
      <c r="U59" s="24"/>
      <c r="V59" s="16"/>
    </row>
    <row r="60" spans="1:22" ht="15" customHeight="1" thickBot="1" x14ac:dyDescent="0.3">
      <c r="A60" s="66"/>
      <c r="B60" s="106"/>
      <c r="J60" s="88"/>
      <c r="K60" s="85" t="s">
        <v>180</v>
      </c>
      <c r="L60" s="85" t="s">
        <v>181</v>
      </c>
      <c r="M60" s="86"/>
      <c r="N60" s="87" t="s">
        <v>183</v>
      </c>
      <c r="O60" s="85"/>
      <c r="P60" s="85"/>
      <c r="Q60" s="87" t="s">
        <v>182</v>
      </c>
      <c r="R60" s="85"/>
      <c r="S60" s="43"/>
      <c r="T60" s="24"/>
      <c r="U60" s="16"/>
    </row>
    <row r="61" spans="1:22" ht="15" customHeight="1" thickTop="1" thickBot="1" x14ac:dyDescent="0.35">
      <c r="A61" s="66"/>
      <c r="B61" s="169"/>
      <c r="C61" s="66"/>
      <c r="D61" s="170" t="s">
        <v>318</v>
      </c>
      <c r="E61" s="181" t="str">
        <f ca="1">SUM(Расчет!H251:S251)&amp;IF(SUM(Расчет!H251:S251)&lt;=4," месяца"," месяцев")</f>
        <v>7 месяцев</v>
      </c>
      <c r="G61" s="165" t="s">
        <v>317</v>
      </c>
      <c r="H61" s="181">
        <f ca="1">Расчет!E273</f>
        <v>45002195.413574561</v>
      </c>
      <c r="I61" s="43"/>
      <c r="K61" s="173" t="str">
        <f>Расчет!$D$229</f>
        <v>AED</v>
      </c>
      <c r="L61" s="81">
        <f ca="1">Расчет!$F$229</f>
        <v>0.19036786773898559</v>
      </c>
      <c r="M61" s="81"/>
      <c r="N61" s="84">
        <v>0.05</v>
      </c>
      <c r="O61" s="43"/>
      <c r="P61" s="83">
        <f ca="1">L61*N61</f>
        <v>9.5183933869492799E-3</v>
      </c>
      <c r="Q61" s="43"/>
      <c r="R61" s="43"/>
      <c r="S61" s="16"/>
      <c r="T61" s="24"/>
      <c r="U61" s="16"/>
    </row>
    <row r="62" spans="1:22" ht="15" customHeight="1" thickTop="1" thickBot="1" x14ac:dyDescent="0.3">
      <c r="A62" s="66"/>
      <c r="C62" s="21"/>
      <c r="G62" s="16"/>
      <c r="H62" s="43"/>
      <c r="I62" s="43"/>
      <c r="J62" s="69"/>
      <c r="K62" s="173" t="str">
        <f>Расчет!$D$231</f>
        <v>USD</v>
      </c>
      <c r="L62" s="81">
        <f ca="1">Расчет!$F$231</f>
        <v>0.10288719000752154</v>
      </c>
      <c r="M62" s="81"/>
      <c r="N62" s="84">
        <v>-0.03</v>
      </c>
      <c r="O62" s="43"/>
      <c r="P62" s="83">
        <f ca="1">L62*N62</f>
        <v>-3.0866157002256461E-3</v>
      </c>
      <c r="Q62" s="174">
        <f ca="1">SUM(P61:P63)</f>
        <v>1.0731241142017379E-2</v>
      </c>
      <c r="R62" s="43"/>
      <c r="S62" s="16"/>
      <c r="T62" s="24"/>
      <c r="U62" s="16"/>
    </row>
    <row r="63" spans="1:22" ht="15" customHeight="1" thickTop="1" thickBot="1" x14ac:dyDescent="0.3">
      <c r="A63" s="66"/>
      <c r="C63" s="21"/>
      <c r="G63" s="16"/>
      <c r="H63" s="43"/>
      <c r="I63" s="43"/>
      <c r="J63" s="43"/>
      <c r="K63" s="173" t="str">
        <f>Расчет!$D$233</f>
        <v>CNY</v>
      </c>
      <c r="L63" s="81">
        <f ca="1">Расчет!$F$233</f>
        <v>6.1420906504196349E-2</v>
      </c>
      <c r="M63" s="81"/>
      <c r="N63" s="84">
        <v>7.0000000000000007E-2</v>
      </c>
      <c r="O63" s="43"/>
      <c r="P63" s="83">
        <f t="shared" ref="P63" ca="1" si="0">L63*N63</f>
        <v>4.2994634552937444E-3</v>
      </c>
      <c r="Q63" s="43"/>
      <c r="R63" s="43"/>
      <c r="S63" s="16"/>
      <c r="T63" s="16"/>
      <c r="U63" s="24"/>
      <c r="V63" s="16"/>
    </row>
    <row r="64" spans="1:22" ht="15.75" thickTop="1" x14ac:dyDescent="0.25">
      <c r="K64" s="43"/>
      <c r="L64" s="43"/>
      <c r="M64" s="43"/>
      <c r="N64" s="43"/>
      <c r="O64" s="43"/>
      <c r="P64" s="43"/>
      <c r="Q64" s="43"/>
      <c r="R64" s="43"/>
      <c r="S64" s="43"/>
    </row>
  </sheetData>
  <mergeCells count="1">
    <mergeCell ref="C2:C4"/>
  </mergeCells>
  <conditionalFormatting sqref="E4">
    <cfRule type="cellIs" dxfId="32" priority="30" operator="equal">
      <formula>"проверка!"</formula>
    </cfRule>
  </conditionalFormatting>
  <conditionalFormatting sqref="H30:S30">
    <cfRule type="expression" dxfId="31" priority="8">
      <formula>H30&gt;0</formula>
    </cfRule>
  </conditionalFormatting>
  <conditionalFormatting sqref="D32:E32">
    <cfRule type="cellIs" dxfId="30" priority="7" operator="equal">
      <formula>"проверка!"</formula>
    </cfRule>
  </conditionalFormatting>
  <conditionalFormatting sqref="N61:N63">
    <cfRule type="cellIs" dxfId="29" priority="5" operator="greaterThan">
      <formula>0</formula>
    </cfRule>
    <cfRule type="cellIs" dxfId="28" priority="6" operator="lessThan">
      <formula>0</formula>
    </cfRule>
  </conditionalFormatting>
  <conditionalFormatting sqref="P61:P63">
    <cfRule type="cellIs" dxfId="27" priority="3" operator="greaterThan">
      <formula>0</formula>
    </cfRule>
    <cfRule type="cellIs" dxfId="26" priority="4" operator="lessThan">
      <formula>0</formula>
    </cfRule>
  </conditionalFormatting>
  <conditionalFormatting sqref="Q62">
    <cfRule type="cellIs" dxfId="25" priority="1" operator="greaterThan">
      <formula>0</formula>
    </cfRule>
    <cfRule type="cellIs" dxfId="24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068A-4EF4-4EF6-B6F5-08A2F3C951F3}">
  <sheetPr codeName="Лист5">
    <pageSetUpPr autoPageBreaks="0"/>
  </sheetPr>
  <dimension ref="A1:S319"/>
  <sheetViews>
    <sheetView showGridLines="0" zoomScale="85" zoomScaleNormal="85" workbookViewId="0">
      <pane xSplit="7" ySplit="6" topLeftCell="H7" activePane="bottomRight" state="frozen"/>
      <selection pane="topRight" activeCell="H1" sqref="H1"/>
      <selection pane="bottomLeft" activeCell="A7" sqref="A7"/>
      <selection pane="bottomRight" sqref="A1:S295"/>
    </sheetView>
  </sheetViews>
  <sheetFormatPr defaultRowHeight="15" x14ac:dyDescent="0.25"/>
  <cols>
    <col min="1" max="1" width="2.7109375" customWidth="1"/>
    <col min="2" max="2" width="4.140625" customWidth="1"/>
    <col min="3" max="3" width="58" customWidth="1"/>
    <col min="4" max="4" width="11.5703125" customWidth="1"/>
    <col min="5" max="5" width="14.85546875" customWidth="1"/>
    <col min="6" max="6" width="12.7109375" customWidth="1"/>
    <col min="7" max="7" width="14.42578125" customWidth="1"/>
    <col min="8" max="19" width="14.5703125" customWidth="1"/>
  </cols>
  <sheetData>
    <row r="1" spans="1:19" s="2" customFormat="1" ht="15.75" x14ac:dyDescent="0.25">
      <c r="A1" s="183"/>
      <c r="B1" s="183"/>
      <c r="C1" s="184" t="s">
        <v>143</v>
      </c>
      <c r="D1" s="183"/>
      <c r="E1" s="183"/>
      <c r="F1" s="183"/>
      <c r="G1" s="183"/>
      <c r="H1" s="183">
        <f t="shared" ref="H1:S1" ca="1" si="0">IF(ISNUMBER(H3)=TRUE,YEAR(H4),"")</f>
        <v>2024</v>
      </c>
      <c r="I1" s="183">
        <f t="shared" ca="1" si="0"/>
        <v>2024</v>
      </c>
      <c r="J1" s="183">
        <f t="shared" ca="1" si="0"/>
        <v>2024</v>
      </c>
      <c r="K1" s="183">
        <f t="shared" ca="1" si="0"/>
        <v>2024</v>
      </c>
      <c r="L1" s="183">
        <f t="shared" ca="1" si="0"/>
        <v>2024</v>
      </c>
      <c r="M1" s="183">
        <f t="shared" ca="1" si="0"/>
        <v>2024</v>
      </c>
      <c r="N1" s="183">
        <f t="shared" ca="1" si="0"/>
        <v>2025</v>
      </c>
      <c r="O1" s="183">
        <f t="shared" ca="1" si="0"/>
        <v>2025</v>
      </c>
      <c r="P1" s="183">
        <f t="shared" ca="1" si="0"/>
        <v>2025</v>
      </c>
      <c r="Q1" s="183">
        <f t="shared" ca="1" si="0"/>
        <v>2025</v>
      </c>
      <c r="R1" s="183">
        <f t="shared" ca="1" si="0"/>
        <v>2025</v>
      </c>
      <c r="S1" s="183">
        <f t="shared" ca="1" si="0"/>
        <v>2025</v>
      </c>
    </row>
    <row r="2" spans="1:19" s="2" customFormat="1" ht="15" customHeight="1" x14ac:dyDescent="0.25">
      <c r="A2" s="183"/>
      <c r="B2" s="183"/>
      <c r="C2" s="314" t="str">
        <f>'Приветствие !'!$M$17</f>
        <v>НАЗВАНИЕ ПРОЕКТА</v>
      </c>
      <c r="D2" s="184"/>
      <c r="E2" s="183"/>
      <c r="F2" s="183"/>
      <c r="G2" s="183"/>
      <c r="H2" s="183" t="str">
        <f t="shared" ref="H2:S2" ca="1" si="1">IFERROR(IF($E$11=12,"",CHOOSE(MONTH(H4),1,1,1,2,2,2,3,3,3,4,4,4)&amp;"-кв"),"")</f>
        <v>3-кв</v>
      </c>
      <c r="I2" s="183" t="str">
        <f t="shared" ca="1" si="1"/>
        <v>3-кв</v>
      </c>
      <c r="J2" s="183" t="str">
        <f t="shared" ca="1" si="1"/>
        <v>3-кв</v>
      </c>
      <c r="K2" s="183" t="str">
        <f t="shared" ca="1" si="1"/>
        <v>4-кв</v>
      </c>
      <c r="L2" s="183" t="str">
        <f t="shared" ca="1" si="1"/>
        <v>4-кв</v>
      </c>
      <c r="M2" s="183" t="str">
        <f t="shared" ca="1" si="1"/>
        <v>4-кв</v>
      </c>
      <c r="N2" s="183" t="str">
        <f t="shared" ca="1" si="1"/>
        <v>1-кв</v>
      </c>
      <c r="O2" s="183" t="str">
        <f t="shared" ca="1" si="1"/>
        <v>1-кв</v>
      </c>
      <c r="P2" s="183" t="str">
        <f t="shared" ca="1" si="1"/>
        <v>1-кв</v>
      </c>
      <c r="Q2" s="183" t="str">
        <f t="shared" ca="1" si="1"/>
        <v>2-кв</v>
      </c>
      <c r="R2" s="183" t="str">
        <f t="shared" ca="1" si="1"/>
        <v>2-кв</v>
      </c>
      <c r="S2" s="183" t="str">
        <f t="shared" ca="1" si="1"/>
        <v>2-кв</v>
      </c>
    </row>
    <row r="3" spans="1:19" s="2" customFormat="1" ht="18" customHeight="1" x14ac:dyDescent="0.25">
      <c r="A3" s="185"/>
      <c r="B3" s="183"/>
      <c r="C3" s="314"/>
      <c r="D3" s="184"/>
      <c r="E3" s="186"/>
      <c r="F3" s="186" t="s">
        <v>0</v>
      </c>
      <c r="G3" s="183"/>
      <c r="H3" s="187">
        <f>IF(COUNT($G3:G3)&lt;$E$12,G3+1,"")</f>
        <v>1</v>
      </c>
      <c r="I3" s="187">
        <f>IF(COUNT($G3:H3)&lt;$E$12,H3+1,"")</f>
        <v>2</v>
      </c>
      <c r="J3" s="187">
        <f>IF(COUNT($G3:I3)&lt;$E$12,I3+1,"")</f>
        <v>3</v>
      </c>
      <c r="K3" s="187">
        <f>IF(COUNT($G3:J3)&lt;$E$12,J3+1,"")</f>
        <v>4</v>
      </c>
      <c r="L3" s="187">
        <f>IF(COUNT($G3:K3)&lt;$E$12,K3+1,"")</f>
        <v>5</v>
      </c>
      <c r="M3" s="187">
        <f>IF(COUNT($G3:L3)&lt;$E$12,L3+1,"")</f>
        <v>6</v>
      </c>
      <c r="N3" s="187">
        <f>IF(COUNT($G3:M3)&lt;$E$12,M3+1,"")</f>
        <v>7</v>
      </c>
      <c r="O3" s="187">
        <f>IF(COUNT($G3:N3)&lt;$E$12,N3+1,"")</f>
        <v>8</v>
      </c>
      <c r="P3" s="187">
        <f>IF(COUNT($G3:O3)&lt;$E$12,O3+1,"")</f>
        <v>9</v>
      </c>
      <c r="Q3" s="187">
        <f>IF(COUNT($G3:P3)&lt;$E$12,P3+1,"")</f>
        <v>10</v>
      </c>
      <c r="R3" s="187">
        <f>IF(COUNT($G3:Q3)&lt;$E$12,Q3+1,"")</f>
        <v>11</v>
      </c>
      <c r="S3" s="187">
        <f>IF(COUNT($G3:R3)&lt;$E$12,R3+1,"")</f>
        <v>12</v>
      </c>
    </row>
    <row r="4" spans="1:19" s="2" customFormat="1" ht="15" customHeight="1" x14ac:dyDescent="0.25">
      <c r="A4" s="183"/>
      <c r="B4" s="183"/>
      <c r="C4" s="314"/>
      <c r="D4" s="188" t="s">
        <v>139</v>
      </c>
      <c r="E4" s="189" t="str">
        <f ca="1">$G$272</f>
        <v>ок</v>
      </c>
      <c r="F4" s="186" t="s">
        <v>1</v>
      </c>
      <c r="G4" s="183"/>
      <c r="H4" s="190">
        <f t="shared" ref="H4:S4" ca="1" si="2">IF(ISNUMBER(H3)=TRUE,IF(H3=1,$E$10,G5+1),"")</f>
        <v>45474</v>
      </c>
      <c r="I4" s="190">
        <f t="shared" ca="1" si="2"/>
        <v>45505</v>
      </c>
      <c r="J4" s="190">
        <f t="shared" ca="1" si="2"/>
        <v>45536</v>
      </c>
      <c r="K4" s="190">
        <f t="shared" ca="1" si="2"/>
        <v>45566</v>
      </c>
      <c r="L4" s="190">
        <f t="shared" ca="1" si="2"/>
        <v>45597</v>
      </c>
      <c r="M4" s="190">
        <f t="shared" ca="1" si="2"/>
        <v>45627</v>
      </c>
      <c r="N4" s="190">
        <f t="shared" ca="1" si="2"/>
        <v>45658</v>
      </c>
      <c r="O4" s="190">
        <f t="shared" ca="1" si="2"/>
        <v>45689</v>
      </c>
      <c r="P4" s="190">
        <f t="shared" ca="1" si="2"/>
        <v>45717</v>
      </c>
      <c r="Q4" s="190">
        <f t="shared" ca="1" si="2"/>
        <v>45748</v>
      </c>
      <c r="R4" s="190">
        <f t="shared" ca="1" si="2"/>
        <v>45778</v>
      </c>
      <c r="S4" s="190">
        <f t="shared" ca="1" si="2"/>
        <v>45809</v>
      </c>
    </row>
    <row r="5" spans="1:19" s="2" customFormat="1" ht="15" customHeight="1" x14ac:dyDescent="0.25">
      <c r="A5" s="183"/>
      <c r="B5" s="183"/>
      <c r="C5" s="184" t="str">
        <f>"целевая страна: "&amp;'Приветствие !'!$H$24</f>
        <v>целевая страна: ОАЭ</v>
      </c>
      <c r="D5" s="184"/>
      <c r="E5" s="186"/>
      <c r="F5" s="186" t="s">
        <v>2</v>
      </c>
      <c r="G5" s="183"/>
      <c r="H5" s="190">
        <f t="shared" ref="H5:S5" ca="1" si="3">IF(ISNUMBER(H3)=TRUE,EDATE(H4,$E$11)-1,"")</f>
        <v>45504</v>
      </c>
      <c r="I5" s="190">
        <f t="shared" ca="1" si="3"/>
        <v>45535</v>
      </c>
      <c r="J5" s="190">
        <f t="shared" ca="1" si="3"/>
        <v>45565</v>
      </c>
      <c r="K5" s="190">
        <f t="shared" ca="1" si="3"/>
        <v>45596</v>
      </c>
      <c r="L5" s="190">
        <f t="shared" ca="1" si="3"/>
        <v>45626</v>
      </c>
      <c r="M5" s="190">
        <f t="shared" ca="1" si="3"/>
        <v>45657</v>
      </c>
      <c r="N5" s="190">
        <f t="shared" ca="1" si="3"/>
        <v>45688</v>
      </c>
      <c r="O5" s="190">
        <f t="shared" ca="1" si="3"/>
        <v>45716</v>
      </c>
      <c r="P5" s="190">
        <f t="shared" ca="1" si="3"/>
        <v>45747</v>
      </c>
      <c r="Q5" s="190">
        <f t="shared" ca="1" si="3"/>
        <v>45777</v>
      </c>
      <c r="R5" s="190">
        <f t="shared" ca="1" si="3"/>
        <v>45808</v>
      </c>
      <c r="S5" s="190">
        <f t="shared" ca="1" si="3"/>
        <v>45838</v>
      </c>
    </row>
    <row r="6" spans="1:19" s="2" customFormat="1" x14ac:dyDescent="0.25">
      <c r="A6" s="183"/>
      <c r="B6" s="183"/>
      <c r="C6" s="183"/>
      <c r="D6" s="183"/>
      <c r="E6" s="186"/>
      <c r="F6" s="186" t="s">
        <v>3</v>
      </c>
      <c r="G6" s="183"/>
      <c r="H6" s="191">
        <f t="shared" ref="H6:S6" ca="1" si="4">IF(ISNUMBER(H3)=TRUE,YEARFRAC(H4,H5,1),"")</f>
        <v>8.1967213114754092E-2</v>
      </c>
      <c r="I6" s="191">
        <f t="shared" ca="1" si="4"/>
        <v>8.1967213114754092E-2</v>
      </c>
      <c r="J6" s="191">
        <f t="shared" ca="1" si="4"/>
        <v>7.9234972677595633E-2</v>
      </c>
      <c r="K6" s="191">
        <f t="shared" ca="1" si="4"/>
        <v>8.1967213114754092E-2</v>
      </c>
      <c r="L6" s="191">
        <f t="shared" ca="1" si="4"/>
        <v>7.9234972677595633E-2</v>
      </c>
      <c r="M6" s="191">
        <f t="shared" ca="1" si="4"/>
        <v>8.1967213114754092E-2</v>
      </c>
      <c r="N6" s="191">
        <f t="shared" ca="1" si="4"/>
        <v>8.2191780821917804E-2</v>
      </c>
      <c r="O6" s="191">
        <f t="shared" ca="1" si="4"/>
        <v>7.3972602739726029E-2</v>
      </c>
      <c r="P6" s="191">
        <f t="shared" ca="1" si="4"/>
        <v>8.2191780821917804E-2</v>
      </c>
      <c r="Q6" s="191">
        <f t="shared" ca="1" si="4"/>
        <v>7.9452054794520555E-2</v>
      </c>
      <c r="R6" s="191">
        <f t="shared" ca="1" si="4"/>
        <v>8.2191780821917804E-2</v>
      </c>
      <c r="S6" s="191">
        <f t="shared" ca="1" si="4"/>
        <v>7.9452054794520555E-2</v>
      </c>
    </row>
    <row r="7" spans="1:19" s="2" customFormat="1" x14ac:dyDescent="0.25">
      <c r="A7" s="192"/>
      <c r="B7" s="193"/>
      <c r="C7" s="193"/>
      <c r="D7" s="194"/>
      <c r="E7" s="192"/>
      <c r="F7" s="192"/>
      <c r="G7" s="192"/>
      <c r="H7" s="195" t="str">
        <f t="shared" ref="H7:S7" ca="1" si="5">H2&amp;" "&amp;H1</f>
        <v>3-кв 2024</v>
      </c>
      <c r="I7" s="195" t="str">
        <f t="shared" ca="1" si="5"/>
        <v>3-кв 2024</v>
      </c>
      <c r="J7" s="195" t="str">
        <f t="shared" ca="1" si="5"/>
        <v>3-кв 2024</v>
      </c>
      <c r="K7" s="195" t="str">
        <f t="shared" ca="1" si="5"/>
        <v>4-кв 2024</v>
      </c>
      <c r="L7" s="195" t="str">
        <f t="shared" ca="1" si="5"/>
        <v>4-кв 2024</v>
      </c>
      <c r="M7" s="195" t="str">
        <f t="shared" ca="1" si="5"/>
        <v>4-кв 2024</v>
      </c>
      <c r="N7" s="195" t="str">
        <f t="shared" ca="1" si="5"/>
        <v>1-кв 2025</v>
      </c>
      <c r="O7" s="195" t="str">
        <f t="shared" ca="1" si="5"/>
        <v>1-кв 2025</v>
      </c>
      <c r="P7" s="195" t="str">
        <f t="shared" ca="1" si="5"/>
        <v>1-кв 2025</v>
      </c>
      <c r="Q7" s="195" t="str">
        <f t="shared" ca="1" si="5"/>
        <v>2-кв 2025</v>
      </c>
      <c r="R7" s="195" t="str">
        <f t="shared" ca="1" si="5"/>
        <v>2-кв 2025</v>
      </c>
      <c r="S7" s="195" t="str">
        <f t="shared" ca="1" si="5"/>
        <v>2-кв 2025</v>
      </c>
    </row>
    <row r="8" spans="1:19" s="8" customFormat="1" ht="15" customHeight="1" x14ac:dyDescent="0.25">
      <c r="A8" s="196"/>
      <c r="B8" s="197">
        <f>MAX($B$1:B7,0)+1</f>
        <v>1</v>
      </c>
      <c r="C8" s="198" t="s">
        <v>4</v>
      </c>
      <c r="D8" s="199"/>
      <c r="E8" s="196"/>
      <c r="F8" s="196"/>
      <c r="G8" s="199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</row>
    <row r="9" spans="1:19" s="2" customFormat="1" x14ac:dyDescent="0.25">
      <c r="A9" s="192"/>
      <c r="B9" s="192"/>
      <c r="C9" s="200"/>
      <c r="D9" s="201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</row>
    <row r="10" spans="1:19" s="2" customFormat="1" x14ac:dyDescent="0.25">
      <c r="A10" s="192"/>
      <c r="B10" s="192"/>
      <c r="C10" s="200" t="s">
        <v>5</v>
      </c>
      <c r="D10" s="201" t="s">
        <v>6</v>
      </c>
      <c r="E10" s="202">
        <f ca="1">'Приветствие !'!$I$64</f>
        <v>45474</v>
      </c>
      <c r="F10" s="203"/>
      <c r="G10" s="203"/>
      <c r="H10" s="204"/>
      <c r="I10" s="204"/>
      <c r="J10" s="204"/>
      <c r="K10" s="204"/>
      <c r="L10" s="204"/>
      <c r="M10" s="192"/>
      <c r="N10" s="192"/>
      <c r="O10" s="192"/>
      <c r="P10" s="192"/>
      <c r="Q10" s="192"/>
      <c r="R10" s="192"/>
      <c r="S10" s="192"/>
    </row>
    <row r="11" spans="1:19" s="2" customFormat="1" x14ac:dyDescent="0.25">
      <c r="A11" s="192"/>
      <c r="B11" s="192"/>
      <c r="C11" s="200" t="s">
        <v>22</v>
      </c>
      <c r="D11" s="201" t="s">
        <v>23</v>
      </c>
      <c r="E11" s="205">
        <v>1</v>
      </c>
      <c r="F11" s="203" t="str">
        <f>IF(E11&lt;&gt;1,"Рекомендуется помесячный прогноз, т.е. 1","")</f>
        <v/>
      </c>
      <c r="G11" s="203"/>
      <c r="H11" s="206"/>
      <c r="I11" s="206"/>
      <c r="J11" s="206"/>
      <c r="K11" s="206"/>
      <c r="L11" s="206"/>
      <c r="M11" s="206"/>
      <c r="N11" s="192"/>
      <c r="O11" s="192"/>
      <c r="P11" s="192"/>
      <c r="Q11" s="192"/>
      <c r="R11" s="192"/>
      <c r="S11" s="192"/>
    </row>
    <row r="12" spans="1:19" s="2" customFormat="1" x14ac:dyDescent="0.25">
      <c r="A12" s="192"/>
      <c r="B12" s="192"/>
      <c r="C12" s="200" t="s">
        <v>162</v>
      </c>
      <c r="D12" s="201" t="s">
        <v>23</v>
      </c>
      <c r="E12" s="205">
        <v>12</v>
      </c>
      <c r="F12" s="203" t="str">
        <f>IF(E12&gt;48,"&lt;&lt;-- максимум - 48 периодов","")</f>
        <v/>
      </c>
      <c r="G12" s="203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</row>
    <row r="13" spans="1:19" s="2" customFormat="1" x14ac:dyDescent="0.25">
      <c r="A13" s="192"/>
      <c r="B13" s="192"/>
      <c r="C13" s="200"/>
      <c r="D13" s="201"/>
      <c r="E13" s="192"/>
      <c r="F13" s="192"/>
      <c r="G13" s="192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</row>
    <row r="14" spans="1:19" s="8" customFormat="1" ht="15" customHeight="1" x14ac:dyDescent="0.25">
      <c r="A14" s="196"/>
      <c r="B14" s="208">
        <f>MAX($B$1:B13,0)+1</f>
        <v>2</v>
      </c>
      <c r="C14" s="198" t="s">
        <v>7</v>
      </c>
      <c r="D14" s="199"/>
      <c r="E14" s="196"/>
      <c r="F14" s="196"/>
      <c r="G14" s="199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</row>
    <row r="15" spans="1:19" s="2" customFormat="1" x14ac:dyDescent="0.25">
      <c r="A15" s="192"/>
      <c r="B15" s="192"/>
      <c r="C15" s="200"/>
      <c r="D15" s="201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</row>
    <row r="16" spans="1:19" s="2" customFormat="1" ht="16.5" x14ac:dyDescent="0.25">
      <c r="A16" s="209"/>
      <c r="B16" s="194"/>
      <c r="C16" s="210" t="s">
        <v>16</v>
      </c>
      <c r="D16" s="211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</row>
    <row r="17" spans="1:19" s="2" customFormat="1" x14ac:dyDescent="0.25">
      <c r="A17" s="209"/>
      <c r="B17" s="194"/>
      <c r="C17" s="200" t="str">
        <f>'Приветствие !'!$O$25&amp;"/RUB"</f>
        <v>AED/RUB</v>
      </c>
      <c r="D17" s="212" t="s">
        <v>8</v>
      </c>
      <c r="E17" s="194"/>
      <c r="F17" s="194"/>
      <c r="G17" s="194"/>
      <c r="H17" s="213">
        <f>'Приветствие !'!H34</f>
        <v>23.985600000000002</v>
      </c>
      <c r="I17" s="213">
        <f>'Приветствие !'!I34</f>
        <v>23.985600000000002</v>
      </c>
      <c r="J17" s="213">
        <f>'Приветствие !'!J34</f>
        <v>23.985600000000002</v>
      </c>
      <c r="K17" s="213">
        <f>'Приветствие !'!K34</f>
        <v>23.985600000000002</v>
      </c>
      <c r="L17" s="213">
        <f>'Приветствие !'!L34</f>
        <v>23.985600000000002</v>
      </c>
      <c r="M17" s="213">
        <f>'Приветствие !'!M34</f>
        <v>23.985600000000002</v>
      </c>
      <c r="N17" s="213">
        <f>'Приветствие !'!N34</f>
        <v>23.985600000000002</v>
      </c>
      <c r="O17" s="213">
        <f>'Приветствие !'!O34</f>
        <v>23.985600000000002</v>
      </c>
      <c r="P17" s="213">
        <f>'Приветствие !'!P34</f>
        <v>23.985600000000002</v>
      </c>
      <c r="Q17" s="213">
        <f>'Приветствие !'!Q34</f>
        <v>23.985600000000002</v>
      </c>
      <c r="R17" s="213">
        <f>'Приветствие !'!R34</f>
        <v>23.985600000000002</v>
      </c>
      <c r="S17" s="213">
        <f>'Приветствие !'!S34</f>
        <v>23.985600000000002</v>
      </c>
    </row>
    <row r="18" spans="1:19" s="2" customFormat="1" x14ac:dyDescent="0.25">
      <c r="A18" s="209"/>
      <c r="B18" s="194"/>
      <c r="C18" s="200" t="str">
        <f>'Приветствие !'!$O$26&amp;"/RUB"</f>
        <v>USD/RUB</v>
      </c>
      <c r="D18" s="212" t="s">
        <v>8</v>
      </c>
      <c r="E18" s="194"/>
      <c r="F18" s="194"/>
      <c r="G18" s="194"/>
      <c r="H18" s="213">
        <f>'Приветствие !'!H35</f>
        <v>88.087199999999996</v>
      </c>
      <c r="I18" s="213">
        <f>'Приветствие !'!I35</f>
        <v>88.087199999999996</v>
      </c>
      <c r="J18" s="213">
        <f>'Приветствие !'!J35</f>
        <v>88.087199999999996</v>
      </c>
      <c r="K18" s="213">
        <f>'Приветствие !'!K35</f>
        <v>88.087199999999996</v>
      </c>
      <c r="L18" s="213">
        <f>'Приветствие !'!L35</f>
        <v>88.087199999999996</v>
      </c>
      <c r="M18" s="213">
        <f>'Приветствие !'!M35</f>
        <v>88.087199999999996</v>
      </c>
      <c r="N18" s="213">
        <f>'Приветствие !'!N35</f>
        <v>88.087199999999996</v>
      </c>
      <c r="O18" s="213">
        <f>'Приветствие !'!O35</f>
        <v>88.087199999999996</v>
      </c>
      <c r="P18" s="213">
        <f>'Приветствие !'!P35</f>
        <v>88.087199999999996</v>
      </c>
      <c r="Q18" s="213">
        <f>'Приветствие !'!Q35</f>
        <v>88.087199999999996</v>
      </c>
      <c r="R18" s="213">
        <f>'Приветствие !'!R35</f>
        <v>88.087199999999996</v>
      </c>
      <c r="S18" s="213">
        <f>'Приветствие !'!S35</f>
        <v>88.087199999999996</v>
      </c>
    </row>
    <row r="19" spans="1:19" s="2" customFormat="1" x14ac:dyDescent="0.25">
      <c r="A19" s="209"/>
      <c r="B19" s="194"/>
      <c r="C19" s="200" t="str">
        <f>'Приветствие !'!$O$27&amp;"/RUB"</f>
        <v>CNY/RUB</v>
      </c>
      <c r="D19" s="212" t="s">
        <v>8</v>
      </c>
      <c r="E19" s="194"/>
      <c r="F19" s="194"/>
      <c r="G19" s="194"/>
      <c r="H19" s="213">
        <f>'Приветствие !'!H36</f>
        <v>12.053699999999999</v>
      </c>
      <c r="I19" s="213">
        <f>'Приветствие !'!I36</f>
        <v>12.053699999999999</v>
      </c>
      <c r="J19" s="213">
        <f>'Приветствие !'!J36</f>
        <v>12.053699999999999</v>
      </c>
      <c r="K19" s="213">
        <f>'Приветствие !'!K36</f>
        <v>12.053699999999999</v>
      </c>
      <c r="L19" s="213">
        <f>'Приветствие !'!L36</f>
        <v>12.053699999999999</v>
      </c>
      <c r="M19" s="213">
        <f>'Приветствие !'!M36</f>
        <v>12.053699999999999</v>
      </c>
      <c r="N19" s="213">
        <f>'Приветствие !'!N36</f>
        <v>12.053699999999999</v>
      </c>
      <c r="O19" s="213">
        <f>'Приветствие !'!O36</f>
        <v>12.053699999999999</v>
      </c>
      <c r="P19" s="213">
        <f>'Приветствие !'!P36</f>
        <v>12.053699999999999</v>
      </c>
      <c r="Q19" s="213">
        <f>'Приветствие !'!Q36</f>
        <v>12.053699999999999</v>
      </c>
      <c r="R19" s="213">
        <f>'Приветствие !'!R36</f>
        <v>12.053699999999999</v>
      </c>
      <c r="S19" s="213">
        <f>'Приветствие !'!S36</f>
        <v>12.053699999999999</v>
      </c>
    </row>
    <row r="20" spans="1:19" s="2" customFormat="1" ht="16.5" x14ac:dyDescent="0.25">
      <c r="A20" s="209"/>
      <c r="B20" s="194"/>
      <c r="C20" s="200"/>
      <c r="D20" s="211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</row>
    <row r="21" spans="1:19" s="2" customFormat="1" ht="15.75" thickBot="1" x14ac:dyDescent="0.3">
      <c r="A21" s="209"/>
      <c r="B21" s="209"/>
      <c r="C21" s="210" t="s">
        <v>17</v>
      </c>
      <c r="D21" s="214"/>
      <c r="E21" s="209"/>
      <c r="F21" s="209"/>
      <c r="G21" s="209"/>
      <c r="H21" s="215">
        <f ca="1">IFERROR(H1,0)</f>
        <v>2024</v>
      </c>
      <c r="I21" s="215">
        <f t="shared" ref="I21:S21" ca="1" si="6">IFERROR(H21+1,0)</f>
        <v>2025</v>
      </c>
      <c r="J21" s="215">
        <f t="shared" ca="1" si="6"/>
        <v>2026</v>
      </c>
      <c r="K21" s="215">
        <f t="shared" ca="1" si="6"/>
        <v>2027</v>
      </c>
      <c r="L21" s="215">
        <f t="shared" ca="1" si="6"/>
        <v>2028</v>
      </c>
      <c r="M21" s="215">
        <f t="shared" ca="1" si="6"/>
        <v>2029</v>
      </c>
      <c r="N21" s="215">
        <f t="shared" ca="1" si="6"/>
        <v>2030</v>
      </c>
      <c r="O21" s="215">
        <f t="shared" ca="1" si="6"/>
        <v>2031</v>
      </c>
      <c r="P21" s="215">
        <f t="shared" ca="1" si="6"/>
        <v>2032</v>
      </c>
      <c r="Q21" s="215">
        <f t="shared" ca="1" si="6"/>
        <v>2033</v>
      </c>
      <c r="R21" s="215">
        <f t="shared" ca="1" si="6"/>
        <v>2034</v>
      </c>
      <c r="S21" s="215">
        <f t="shared" ca="1" si="6"/>
        <v>2035</v>
      </c>
    </row>
    <row r="22" spans="1:19" s="2" customFormat="1" ht="15.75" thickTop="1" x14ac:dyDescent="0.25">
      <c r="A22" s="209"/>
      <c r="B22" s="194"/>
      <c r="C22" s="200" t="s">
        <v>9</v>
      </c>
      <c r="D22" s="201" t="s">
        <v>10</v>
      </c>
      <c r="E22" s="194"/>
      <c r="F22" s="194"/>
      <c r="G22" s="194"/>
      <c r="H22" s="216">
        <f ca="1">'Приветствие !'!H42</f>
        <v>5.5722622652711884E-3</v>
      </c>
      <c r="I22" s="216">
        <f ca="1">'Приветствие !'!I42</f>
        <v>5.5722622652711884E-3</v>
      </c>
      <c r="J22" s="216">
        <f ca="1">'Приветствие !'!J42</f>
        <v>5.5722622652711884E-3</v>
      </c>
      <c r="K22" s="216">
        <f ca="1">'Приветствие !'!K42</f>
        <v>5.5722622652711884E-3</v>
      </c>
      <c r="L22" s="216">
        <f ca="1">'Приветствие !'!L42</f>
        <v>5.5722622652711884E-3</v>
      </c>
      <c r="M22" s="216">
        <f ca="1">'Приветствие !'!M42</f>
        <v>5.5722622652711884E-3</v>
      </c>
      <c r="N22" s="216">
        <f ca="1">'Приветствие !'!N42</f>
        <v>4.2314524504012407E-3</v>
      </c>
      <c r="O22" s="216">
        <f ca="1">'Приветствие !'!O42</f>
        <v>4.2314524504012407E-3</v>
      </c>
      <c r="P22" s="216">
        <f ca="1">'Приветствие !'!P42</f>
        <v>4.2314524504012407E-3</v>
      </c>
      <c r="Q22" s="216">
        <f ca="1">'Приветствие !'!Q42</f>
        <v>4.2314524504012407E-3</v>
      </c>
      <c r="R22" s="216">
        <f ca="1">'Приветствие !'!R42</f>
        <v>4.2314524504012407E-3</v>
      </c>
      <c r="S22" s="216">
        <f ca="1">'Приветствие !'!S42</f>
        <v>4.2314524504012407E-3</v>
      </c>
    </row>
    <row r="23" spans="1:19" s="2" customFormat="1" x14ac:dyDescent="0.25">
      <c r="A23" s="209"/>
      <c r="B23" s="194"/>
      <c r="C23" s="200" t="str">
        <f>"Инфляция "&amp;'Приветствие !'!$O$25</f>
        <v>Инфляция AED</v>
      </c>
      <c r="D23" s="201" t="s">
        <v>10</v>
      </c>
      <c r="E23" s="194"/>
      <c r="F23" s="194"/>
      <c r="G23" s="194"/>
      <c r="H23" s="216">
        <f>'Приветствие !'!H43</f>
        <v>1.6515813019202241E-3</v>
      </c>
      <c r="I23" s="216">
        <f>'Приветствие !'!I43</f>
        <v>1.6515813019202241E-3</v>
      </c>
      <c r="J23" s="216">
        <f>'Приветствие !'!J43</f>
        <v>1.6515813019202241E-3</v>
      </c>
      <c r="K23" s="216">
        <f>'Приветствие !'!K43</f>
        <v>1.6515813019202241E-3</v>
      </c>
      <c r="L23" s="216">
        <f>'Приветствие !'!L43</f>
        <v>1.6515813019202241E-3</v>
      </c>
      <c r="M23" s="216">
        <f>'Приветствие !'!M43</f>
        <v>1.6515813019202241E-3</v>
      </c>
      <c r="N23" s="216">
        <f>'Приветствие !'!N43</f>
        <v>1.6515813019202241E-3</v>
      </c>
      <c r="O23" s="216">
        <f>'Приветствие !'!O43</f>
        <v>1.6515813019202241E-3</v>
      </c>
      <c r="P23" s="216">
        <f>'Приветствие !'!P43</f>
        <v>1.6515813019202241E-3</v>
      </c>
      <c r="Q23" s="216">
        <f>'Приветствие !'!Q43</f>
        <v>1.6515813019202241E-3</v>
      </c>
      <c r="R23" s="216">
        <f>'Приветствие !'!R43</f>
        <v>1.6515813019202241E-3</v>
      </c>
      <c r="S23" s="216">
        <f>'Приветствие !'!S43</f>
        <v>1.6515813019202241E-3</v>
      </c>
    </row>
    <row r="24" spans="1:19" s="2" customFormat="1" x14ac:dyDescent="0.25">
      <c r="A24" s="209"/>
      <c r="B24" s="194"/>
      <c r="C24" s="200" t="str">
        <f>"Инфляция "&amp;'Приветствие !'!$O$26</f>
        <v>Инфляция USD</v>
      </c>
      <c r="D24" s="201" t="s">
        <v>10</v>
      </c>
      <c r="E24" s="194"/>
      <c r="F24" s="194"/>
      <c r="G24" s="194"/>
      <c r="H24" s="216">
        <f>'Приветствие !'!H44</f>
        <v>1.6515813019202241E-3</v>
      </c>
      <c r="I24" s="216">
        <f>'Приветствие !'!I44</f>
        <v>1.6515813019202241E-3</v>
      </c>
      <c r="J24" s="216">
        <f>'Приветствие !'!J44</f>
        <v>1.6515813019202241E-3</v>
      </c>
      <c r="K24" s="216">
        <f>'Приветствие !'!K44</f>
        <v>1.6515813019202241E-3</v>
      </c>
      <c r="L24" s="216">
        <f>'Приветствие !'!L44</f>
        <v>1.6515813019202241E-3</v>
      </c>
      <c r="M24" s="216">
        <f>'Приветствие !'!M44</f>
        <v>1.6515813019202241E-3</v>
      </c>
      <c r="N24" s="216">
        <f>'Приветствие !'!N44</f>
        <v>1.6515813019202241E-3</v>
      </c>
      <c r="O24" s="216">
        <f>'Приветствие !'!O44</f>
        <v>1.6515813019202241E-3</v>
      </c>
      <c r="P24" s="216">
        <f>'Приветствие !'!P44</f>
        <v>1.6515813019202241E-3</v>
      </c>
      <c r="Q24" s="216">
        <f>'Приветствие !'!Q44</f>
        <v>1.6515813019202241E-3</v>
      </c>
      <c r="R24" s="216">
        <f>'Приветствие !'!R44</f>
        <v>1.6515813019202241E-3</v>
      </c>
      <c r="S24" s="216">
        <f>'Приветствие !'!S44</f>
        <v>1.6515813019202241E-3</v>
      </c>
    </row>
    <row r="25" spans="1:19" s="2" customFormat="1" x14ac:dyDescent="0.25">
      <c r="A25" s="209"/>
      <c r="B25" s="194"/>
      <c r="C25" s="200" t="str">
        <f>"Инфляция "&amp;'Приветствие !'!$O$27</f>
        <v>Инфляция CNY</v>
      </c>
      <c r="D25" s="201" t="s">
        <v>10</v>
      </c>
      <c r="E25" s="194"/>
      <c r="F25" s="194"/>
      <c r="G25" s="194"/>
      <c r="H25" s="216">
        <f>'Приветствие !'!H45</f>
        <v>1.6515813019202241E-3</v>
      </c>
      <c r="I25" s="216">
        <f>'Приветствие !'!I45</f>
        <v>1.6515813019202241E-3</v>
      </c>
      <c r="J25" s="216">
        <f>'Приветствие !'!J45</f>
        <v>1.6515813019202241E-3</v>
      </c>
      <c r="K25" s="216">
        <f>'Приветствие !'!K45</f>
        <v>1.6515813019202241E-3</v>
      </c>
      <c r="L25" s="216">
        <f>'Приветствие !'!L45</f>
        <v>1.6515813019202241E-3</v>
      </c>
      <c r="M25" s="216">
        <f>'Приветствие !'!M45</f>
        <v>1.6515813019202241E-3</v>
      </c>
      <c r="N25" s="216">
        <f>'Приветствие !'!N45</f>
        <v>1.6515813019202241E-3</v>
      </c>
      <c r="O25" s="216">
        <f>'Приветствие !'!O45</f>
        <v>1.6515813019202241E-3</v>
      </c>
      <c r="P25" s="216">
        <f>'Приветствие !'!P45</f>
        <v>1.6515813019202241E-3</v>
      </c>
      <c r="Q25" s="216">
        <f>'Приветствие !'!Q45</f>
        <v>1.6515813019202241E-3</v>
      </c>
      <c r="R25" s="216">
        <f>'Приветствие !'!R45</f>
        <v>1.6515813019202241E-3</v>
      </c>
      <c r="S25" s="216">
        <f>'Приветствие !'!S45</f>
        <v>1.6515813019202241E-3</v>
      </c>
    </row>
    <row r="26" spans="1:19" s="2" customFormat="1" x14ac:dyDescent="0.25">
      <c r="A26" s="209"/>
      <c r="B26" s="194"/>
      <c r="C26" s="200"/>
      <c r="D26" s="201"/>
      <c r="E26" s="194"/>
      <c r="F26" s="194"/>
      <c r="G26" s="217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</row>
    <row r="27" spans="1:19" s="2" customFormat="1" x14ac:dyDescent="0.25">
      <c r="A27" s="209"/>
      <c r="B27" s="194"/>
      <c r="C27" s="210" t="s">
        <v>150</v>
      </c>
      <c r="D27" s="201"/>
      <c r="E27" s="194"/>
      <c r="F27" s="194"/>
      <c r="G27" s="217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</row>
    <row r="28" spans="1:19" s="2" customFormat="1" x14ac:dyDescent="0.25">
      <c r="A28" s="209"/>
      <c r="B28" s="194"/>
      <c r="C28" s="200" t="s">
        <v>9</v>
      </c>
      <c r="D28" s="214" t="s">
        <v>163</v>
      </c>
      <c r="E28" s="194"/>
      <c r="F28" s="194"/>
      <c r="G28" s="217"/>
      <c r="H28" s="218">
        <f ca="1">H22</f>
        <v>5.5722622652711884E-3</v>
      </c>
      <c r="I28" s="218">
        <f t="shared" ref="I28:S28" ca="1" si="7">I22</f>
        <v>5.5722622652711884E-3</v>
      </c>
      <c r="J28" s="218">
        <f t="shared" ca="1" si="7"/>
        <v>5.5722622652711884E-3</v>
      </c>
      <c r="K28" s="218">
        <f t="shared" ca="1" si="7"/>
        <v>5.5722622652711884E-3</v>
      </c>
      <c r="L28" s="218">
        <f t="shared" ca="1" si="7"/>
        <v>5.5722622652711884E-3</v>
      </c>
      <c r="M28" s="218">
        <f t="shared" ca="1" si="7"/>
        <v>5.5722622652711884E-3</v>
      </c>
      <c r="N28" s="218">
        <f t="shared" ca="1" si="7"/>
        <v>4.2314524504012407E-3</v>
      </c>
      <c r="O28" s="218">
        <f t="shared" ca="1" si="7"/>
        <v>4.2314524504012407E-3</v>
      </c>
      <c r="P28" s="218">
        <f t="shared" ca="1" si="7"/>
        <v>4.2314524504012407E-3</v>
      </c>
      <c r="Q28" s="218">
        <f t="shared" ca="1" si="7"/>
        <v>4.2314524504012407E-3</v>
      </c>
      <c r="R28" s="218">
        <f t="shared" ca="1" si="7"/>
        <v>4.2314524504012407E-3</v>
      </c>
      <c r="S28" s="218">
        <f t="shared" ca="1" si="7"/>
        <v>4.2314524504012407E-3</v>
      </c>
    </row>
    <row r="29" spans="1:19" s="2" customFormat="1" x14ac:dyDescent="0.25">
      <c r="A29" s="209"/>
      <c r="B29" s="194"/>
      <c r="C29" s="219" t="s">
        <v>11</v>
      </c>
      <c r="D29" s="214" t="s">
        <v>163</v>
      </c>
      <c r="E29" s="194"/>
      <c r="F29" s="220"/>
      <c r="G29" s="217"/>
      <c r="H29" s="218">
        <f ca="1">IFERROR((1+G29)*(1+H28)-1,"")</f>
        <v>5.5722622652711884E-3</v>
      </c>
      <c r="I29" s="218">
        <f ca="1">IFERROR((1+H29)*(1+I28)-1,"")</f>
        <v>1.1175574637295238E-2</v>
      </c>
      <c r="J29" s="218">
        <f t="shared" ref="J29" ca="1" si="8">IFERROR((1+I29)*(1+J28)-1,"")</f>
        <v>1.6810110135410561E-2</v>
      </c>
      <c r="K29" s="218">
        <f t="shared" ref="K29" ca="1" si="9">IFERROR((1+J29)*(1+K28)-1,"")</f>
        <v>2.2476042743064362E-2</v>
      </c>
      <c r="L29" s="218">
        <f t="shared" ref="L29" ca="1" si="10">IFERROR((1+K29)*(1+L28)-1,"")</f>
        <v>2.8173547413185451E-2</v>
      </c>
      <c r="M29" s="218">
        <f t="shared" ref="M29" ca="1" si="11">IFERROR((1+L29)*(1+M28)-1,"")</f>
        <v>3.3902800073585926E-2</v>
      </c>
      <c r="N29" s="218">
        <f t="shared" ref="N29" ca="1" si="12">IFERROR((1+M29)*(1+N28)-1,"")</f>
        <v>3.8277710610433946E-2</v>
      </c>
      <c r="O29" s="218">
        <f t="shared" ref="O29" ca="1" si="13">IFERROR((1+N29)*(1+O28)-1,"")</f>
        <v>4.2671133373193504E-2</v>
      </c>
      <c r="P29" s="218">
        <f t="shared" ref="P29" ca="1" si="14">IFERROR((1+O29)*(1+P28)-1,"")</f>
        <v>4.7083146695468203E-2</v>
      </c>
      <c r="Q29" s="218">
        <f t="shared" ref="Q29" ca="1" si="15">IFERROR((1+P29)*(1+Q28)-1,"")</f>
        <v>5.1513829242326503E-2</v>
      </c>
      <c r="R29" s="218">
        <f t="shared" ref="R29" ca="1" si="16">IFERROR((1+Q29)*(1+R28)-1,"")</f>
        <v>5.5963260011704818E-2</v>
      </c>
      <c r="S29" s="218">
        <f t="shared" ref="S29" ca="1" si="17">IFERROR((1+R29)*(1+S28)-1,"")</f>
        <v>6.043151833581506E-2</v>
      </c>
    </row>
    <row r="30" spans="1:19" s="2" customFormat="1" x14ac:dyDescent="0.25">
      <c r="A30" s="209"/>
      <c r="B30" s="194"/>
      <c r="C30" s="200" t="str">
        <f>"Инфляция "&amp;'Бюджет на запуск'!$I$3</f>
        <v>Инфляция AED</v>
      </c>
      <c r="D30" s="214" t="s">
        <v>163</v>
      </c>
      <c r="E30" s="194"/>
      <c r="F30" s="221"/>
      <c r="G30" s="217"/>
      <c r="H30" s="218">
        <f>H23</f>
        <v>1.6515813019202241E-3</v>
      </c>
      <c r="I30" s="218">
        <f t="shared" ref="I30:S30" si="18">I23</f>
        <v>1.6515813019202241E-3</v>
      </c>
      <c r="J30" s="218">
        <f t="shared" si="18"/>
        <v>1.6515813019202241E-3</v>
      </c>
      <c r="K30" s="218">
        <f t="shared" si="18"/>
        <v>1.6515813019202241E-3</v>
      </c>
      <c r="L30" s="218">
        <f t="shared" si="18"/>
        <v>1.6515813019202241E-3</v>
      </c>
      <c r="M30" s="218">
        <f t="shared" si="18"/>
        <v>1.6515813019202241E-3</v>
      </c>
      <c r="N30" s="218">
        <f t="shared" si="18"/>
        <v>1.6515813019202241E-3</v>
      </c>
      <c r="O30" s="218">
        <f t="shared" si="18"/>
        <v>1.6515813019202241E-3</v>
      </c>
      <c r="P30" s="218">
        <f t="shared" si="18"/>
        <v>1.6515813019202241E-3</v>
      </c>
      <c r="Q30" s="218">
        <f t="shared" si="18"/>
        <v>1.6515813019202241E-3</v>
      </c>
      <c r="R30" s="218">
        <f t="shared" si="18"/>
        <v>1.6515813019202241E-3</v>
      </c>
      <c r="S30" s="218">
        <f t="shared" si="18"/>
        <v>1.6515813019202241E-3</v>
      </c>
    </row>
    <row r="31" spans="1:19" s="2" customFormat="1" x14ac:dyDescent="0.25">
      <c r="A31" s="209"/>
      <c r="B31" s="194"/>
      <c r="C31" s="219" t="s">
        <v>11</v>
      </c>
      <c r="D31" s="214" t="s">
        <v>163</v>
      </c>
      <c r="E31" s="194"/>
      <c r="F31" s="194"/>
      <c r="G31" s="194"/>
      <c r="H31" s="218">
        <f t="shared" ref="H31" si="19">IFERROR((1+G31)*(1+H30)-1,"")</f>
        <v>1.6515813019202241E-3</v>
      </c>
      <c r="I31" s="218">
        <f t="shared" ref="I31" si="20">IFERROR((1+H31)*(1+I30)-1,"")</f>
        <v>3.3058903246372395E-3</v>
      </c>
      <c r="J31" s="218">
        <f t="shared" ref="J31" si="21">IFERROR((1+I31)*(1+J30)-1,"")</f>
        <v>4.9629315732038215E-3</v>
      </c>
      <c r="K31" s="218">
        <f t="shared" ref="K31" si="22">IFERROR((1+J31)*(1+K30)-1,"")</f>
        <v>6.6227095601130159E-3</v>
      </c>
      <c r="L31" s="218">
        <f t="shared" ref="L31" si="23">IFERROR((1+K31)*(1+L30)-1,"")</f>
        <v>8.2852288053107959E-3</v>
      </c>
      <c r="M31" s="218">
        <f t="shared" ref="M31" si="24">IFERROR((1+L31)*(1+M30)-1,"")</f>
        <v>9.9504938362080519E-3</v>
      </c>
      <c r="N31" s="218">
        <f t="shared" ref="N31" si="25">IFERROR((1+M31)*(1+N30)-1,"")</f>
        <v>1.1618509187693027E-2</v>
      </c>
      <c r="O31" s="218">
        <f t="shared" ref="O31" si="26">IFERROR((1+N31)*(1+O30)-1,"")</f>
        <v>1.328927940214375E-2</v>
      </c>
      <c r="P31" s="218">
        <f t="shared" ref="P31" si="27">IFERROR((1+O31)*(1+P30)-1,"")</f>
        <v>1.4962809029440471E-2</v>
      </c>
      <c r="Q31" s="218">
        <f t="shared" ref="Q31" si="28">IFERROR((1+P31)*(1+Q30)-1,"")</f>
        <v>1.6639102626977875E-2</v>
      </c>
      <c r="R31" s="218">
        <f t="shared" ref="R31" si="29">IFERROR((1+Q31)*(1+R30)-1,"")</f>
        <v>1.8318164759677513E-2</v>
      </c>
      <c r="S31" s="218">
        <f t="shared" ref="S31" si="30">IFERROR((1+R31)*(1+S30)-1,"")</f>
        <v>2.000000000000024E-2</v>
      </c>
    </row>
    <row r="32" spans="1:19" s="2" customFormat="1" x14ac:dyDescent="0.25">
      <c r="A32" s="209"/>
      <c r="B32" s="194"/>
      <c r="C32" s="200" t="str">
        <f>"Инфляция "&amp;'Бюджет на запуск'!$J$3</f>
        <v>Инфляция USD</v>
      </c>
      <c r="D32" s="214" t="s">
        <v>163</v>
      </c>
      <c r="E32" s="194"/>
      <c r="F32" s="194"/>
      <c r="G32" s="194"/>
      <c r="H32" s="218">
        <f>H24</f>
        <v>1.6515813019202241E-3</v>
      </c>
      <c r="I32" s="218">
        <f t="shared" ref="I32:S32" si="31">I24</f>
        <v>1.6515813019202241E-3</v>
      </c>
      <c r="J32" s="218">
        <f t="shared" si="31"/>
        <v>1.6515813019202241E-3</v>
      </c>
      <c r="K32" s="218">
        <f t="shared" si="31"/>
        <v>1.6515813019202241E-3</v>
      </c>
      <c r="L32" s="218">
        <f t="shared" si="31"/>
        <v>1.6515813019202241E-3</v>
      </c>
      <c r="M32" s="218">
        <f t="shared" si="31"/>
        <v>1.6515813019202241E-3</v>
      </c>
      <c r="N32" s="218">
        <f t="shared" si="31"/>
        <v>1.6515813019202241E-3</v>
      </c>
      <c r="O32" s="218">
        <f t="shared" si="31"/>
        <v>1.6515813019202241E-3</v>
      </c>
      <c r="P32" s="218">
        <f t="shared" si="31"/>
        <v>1.6515813019202241E-3</v>
      </c>
      <c r="Q32" s="218">
        <f t="shared" si="31"/>
        <v>1.6515813019202241E-3</v>
      </c>
      <c r="R32" s="218">
        <f t="shared" si="31"/>
        <v>1.6515813019202241E-3</v>
      </c>
      <c r="S32" s="218">
        <f t="shared" si="31"/>
        <v>1.6515813019202241E-3</v>
      </c>
    </row>
    <row r="33" spans="1:19" s="2" customFormat="1" x14ac:dyDescent="0.25">
      <c r="A33" s="209"/>
      <c r="B33" s="194"/>
      <c r="C33" s="219" t="s">
        <v>11</v>
      </c>
      <c r="D33" s="214" t="s">
        <v>163</v>
      </c>
      <c r="E33" s="194"/>
      <c r="F33" s="194"/>
      <c r="G33" s="194"/>
      <c r="H33" s="218">
        <f t="shared" ref="H33" si="32">IFERROR((1+G33)*(1+H32)-1,"")</f>
        <v>1.6515813019202241E-3</v>
      </c>
      <c r="I33" s="218">
        <f t="shared" ref="I33" si="33">IFERROR((1+H33)*(1+I32)-1,"")</f>
        <v>3.3058903246372395E-3</v>
      </c>
      <c r="J33" s="218">
        <f t="shared" ref="J33" si="34">IFERROR((1+I33)*(1+J32)-1,"")</f>
        <v>4.9629315732038215E-3</v>
      </c>
      <c r="K33" s="218">
        <f t="shared" ref="K33" si="35">IFERROR((1+J33)*(1+K32)-1,"")</f>
        <v>6.6227095601130159E-3</v>
      </c>
      <c r="L33" s="218">
        <f t="shared" ref="L33" si="36">IFERROR((1+K33)*(1+L32)-1,"")</f>
        <v>8.2852288053107959E-3</v>
      </c>
      <c r="M33" s="218">
        <f t="shared" ref="M33" si="37">IFERROR((1+L33)*(1+M32)-1,"")</f>
        <v>9.9504938362080519E-3</v>
      </c>
      <c r="N33" s="218">
        <f t="shared" ref="N33" si="38">IFERROR((1+M33)*(1+N32)-1,"")</f>
        <v>1.1618509187693027E-2</v>
      </c>
      <c r="O33" s="218">
        <f t="shared" ref="O33" si="39">IFERROR((1+N33)*(1+O32)-1,"")</f>
        <v>1.328927940214375E-2</v>
      </c>
      <c r="P33" s="218">
        <f t="shared" ref="P33" si="40">IFERROR((1+O33)*(1+P32)-1,"")</f>
        <v>1.4962809029440471E-2</v>
      </c>
      <c r="Q33" s="218">
        <f t="shared" ref="Q33" si="41">IFERROR((1+P33)*(1+Q32)-1,"")</f>
        <v>1.6639102626977875E-2</v>
      </c>
      <c r="R33" s="218">
        <f t="shared" ref="R33" si="42">IFERROR((1+Q33)*(1+R32)-1,"")</f>
        <v>1.8318164759677513E-2</v>
      </c>
      <c r="S33" s="218">
        <f t="shared" ref="S33" si="43">IFERROR((1+R33)*(1+S32)-1,"")</f>
        <v>2.000000000000024E-2</v>
      </c>
    </row>
    <row r="34" spans="1:19" s="2" customFormat="1" x14ac:dyDescent="0.25">
      <c r="A34" s="209"/>
      <c r="B34" s="194"/>
      <c r="C34" s="200" t="str">
        <f>"Инфляция "&amp;'Бюджет на запуск'!$K$3</f>
        <v>Инфляция CNY</v>
      </c>
      <c r="D34" s="214" t="s">
        <v>163</v>
      </c>
      <c r="E34" s="194"/>
      <c r="F34" s="194"/>
      <c r="G34" s="194"/>
      <c r="H34" s="218">
        <f>H25</f>
        <v>1.6515813019202241E-3</v>
      </c>
      <c r="I34" s="218">
        <f t="shared" ref="I34:S34" si="44">I25</f>
        <v>1.6515813019202241E-3</v>
      </c>
      <c r="J34" s="218">
        <f t="shared" si="44"/>
        <v>1.6515813019202241E-3</v>
      </c>
      <c r="K34" s="218">
        <f t="shared" si="44"/>
        <v>1.6515813019202241E-3</v>
      </c>
      <c r="L34" s="218">
        <f t="shared" si="44"/>
        <v>1.6515813019202241E-3</v>
      </c>
      <c r="M34" s="218">
        <f t="shared" si="44"/>
        <v>1.6515813019202241E-3</v>
      </c>
      <c r="N34" s="218">
        <f t="shared" si="44"/>
        <v>1.6515813019202241E-3</v>
      </c>
      <c r="O34" s="218">
        <f t="shared" si="44"/>
        <v>1.6515813019202241E-3</v>
      </c>
      <c r="P34" s="218">
        <f t="shared" si="44"/>
        <v>1.6515813019202241E-3</v>
      </c>
      <c r="Q34" s="218">
        <f t="shared" si="44"/>
        <v>1.6515813019202241E-3</v>
      </c>
      <c r="R34" s="218">
        <f t="shared" si="44"/>
        <v>1.6515813019202241E-3</v>
      </c>
      <c r="S34" s="218">
        <f t="shared" si="44"/>
        <v>1.6515813019202241E-3</v>
      </c>
    </row>
    <row r="35" spans="1:19" s="2" customFormat="1" x14ac:dyDescent="0.25">
      <c r="A35" s="209"/>
      <c r="B35" s="194"/>
      <c r="C35" s="219" t="s">
        <v>11</v>
      </c>
      <c r="D35" s="214" t="s">
        <v>163</v>
      </c>
      <c r="E35" s="194"/>
      <c r="F35" s="194"/>
      <c r="G35" s="194"/>
      <c r="H35" s="218">
        <f>IFERROR((1+G35)*(1+H34)-1,"")</f>
        <v>1.6515813019202241E-3</v>
      </c>
      <c r="I35" s="218">
        <f t="shared" ref="I35:S35" si="45">IFERROR((1+H35)*(1+I34)-1,"")</f>
        <v>3.3058903246372395E-3</v>
      </c>
      <c r="J35" s="218">
        <f t="shared" si="45"/>
        <v>4.9629315732038215E-3</v>
      </c>
      <c r="K35" s="218">
        <f t="shared" si="45"/>
        <v>6.6227095601130159E-3</v>
      </c>
      <c r="L35" s="218">
        <f t="shared" si="45"/>
        <v>8.2852288053107959E-3</v>
      </c>
      <c r="M35" s="218">
        <f t="shared" si="45"/>
        <v>9.9504938362080519E-3</v>
      </c>
      <c r="N35" s="218">
        <f t="shared" si="45"/>
        <v>1.1618509187693027E-2</v>
      </c>
      <c r="O35" s="218">
        <f t="shared" si="45"/>
        <v>1.328927940214375E-2</v>
      </c>
      <c r="P35" s="218">
        <f t="shared" si="45"/>
        <v>1.4962809029440471E-2</v>
      </c>
      <c r="Q35" s="218">
        <f t="shared" si="45"/>
        <v>1.6639102626977875E-2</v>
      </c>
      <c r="R35" s="218">
        <f t="shared" si="45"/>
        <v>1.8318164759677513E-2</v>
      </c>
      <c r="S35" s="218">
        <f t="shared" si="45"/>
        <v>2.000000000000024E-2</v>
      </c>
    </row>
    <row r="36" spans="1:19" s="2" customFormat="1" ht="16.5" x14ac:dyDescent="0.25">
      <c r="A36" s="209"/>
      <c r="B36" s="194"/>
      <c r="C36" s="200"/>
      <c r="D36" s="211"/>
      <c r="E36" s="194"/>
      <c r="F36" s="194"/>
      <c r="G36" s="194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</row>
    <row r="37" spans="1:19" s="8" customFormat="1" ht="15" customHeight="1" x14ac:dyDescent="0.25">
      <c r="A37" s="196"/>
      <c r="B37" s="208">
        <f>MAX($B$1:B36,0)+1</f>
        <v>3</v>
      </c>
      <c r="C37" s="198" t="s">
        <v>25</v>
      </c>
      <c r="D37" s="199"/>
      <c r="E37" s="196"/>
      <c r="F37" s="196"/>
      <c r="G37" s="199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</row>
    <row r="38" spans="1:19" s="2" customFormat="1" ht="16.5" x14ac:dyDescent="0.3">
      <c r="A38" s="223"/>
      <c r="B38" s="223"/>
      <c r="C38" s="223"/>
      <c r="D38" s="194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</row>
    <row r="39" spans="1:19" s="2" customFormat="1" ht="16.5" x14ac:dyDescent="0.3">
      <c r="A39" s="223"/>
      <c r="B39" s="223"/>
      <c r="C39" s="212"/>
      <c r="D39" s="224"/>
      <c r="E39" s="225" t="s">
        <v>58</v>
      </c>
      <c r="F39" s="226" t="s">
        <v>30</v>
      </c>
      <c r="G39" s="227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</row>
    <row r="40" spans="1:19" s="2" customFormat="1" ht="16.5" x14ac:dyDescent="0.3">
      <c r="A40" s="223"/>
      <c r="B40" s="223"/>
      <c r="C40" s="200" t="str">
        <f>"Анализ рынка продукта"&amp;" в "&amp;D40</f>
        <v>Анализ рынка продукта в RUB</v>
      </c>
      <c r="D40" s="229" t="str">
        <f>'Бюджет на запуск'!$H$3</f>
        <v>RUB</v>
      </c>
      <c r="E40" s="230">
        <f>SUMIF('Бюджет на запуск'!$C$8:$C$21,Расчет!$D40,'Бюджет на запуск'!$D$8:$D$21)</f>
        <v>0</v>
      </c>
      <c r="F40" s="231">
        <f>IFERROR(SUMPRODUCT(('Бюджет на запуск'!$D$8:$D$21)*('Бюджет на запуск'!$E$8:$E$21)*(('Бюджет на запуск'!$C$8:$C$21=Расчет!$D40)))/$E40,0)</f>
        <v>0</v>
      </c>
      <c r="G40" s="232">
        <f t="shared" ref="G40:G71" si="46">IF(E40=0,1,SUM(H40:S40))</f>
        <v>1</v>
      </c>
      <c r="H40" s="42">
        <f>IFERROR(SUMPRODUCT(('Бюджет на запуск'!$D$8:$D$21)*('Бюджет на запуск'!H$8:H$21)*(('Бюджет на запуск'!$C$8:$C$21=Расчет!$D40)))/$E40,0)</f>
        <v>0</v>
      </c>
      <c r="I40" s="42">
        <f>IFERROR(SUMPRODUCT(('Бюджет на запуск'!$D$8:$D$21)*('Бюджет на запуск'!I$8:I$21)*(('Бюджет на запуск'!$C$8:$C$21=Расчет!$D40)))/$E40,0)</f>
        <v>0</v>
      </c>
      <c r="J40" s="42">
        <f>IFERROR(SUMPRODUCT(('Бюджет на запуск'!$D$8:$D$21)*('Бюджет на запуск'!J$8:J$21)*(('Бюджет на запуск'!$C$8:$C$21=Расчет!$D40)))/$E40,0)</f>
        <v>0</v>
      </c>
      <c r="K40" s="42">
        <f>IFERROR(SUMPRODUCT(('Бюджет на запуск'!$D$8:$D$21)*('Бюджет на запуск'!K$8:K$21)*(('Бюджет на запуск'!$C$8:$C$21=Расчет!$D40)))/$E40,0)</f>
        <v>0</v>
      </c>
      <c r="L40" s="42">
        <f>IFERROR(SUMPRODUCT(('Бюджет на запуск'!$D$8:$D$21)*('Бюджет на запуск'!L$8:L$21)*(('Бюджет на запуск'!$C$8:$C$21=Расчет!$D40)))/$E40,0)</f>
        <v>0</v>
      </c>
      <c r="M40" s="42">
        <f>IFERROR(SUMPRODUCT(('Бюджет на запуск'!$D$8:$D$21)*('Бюджет на запуск'!M$8:M$21)*(('Бюджет на запуск'!$C$8:$C$21=Расчет!$D40)))/$E40,0)</f>
        <v>0</v>
      </c>
      <c r="N40" s="42">
        <f>IFERROR(SUMPRODUCT(('Бюджет на запуск'!$D$8:$D$21)*('Бюджет на запуск'!N$8:N$21)*(('Бюджет на запуск'!$C$8:$C$21=Расчет!$D40)))/$E40,0)</f>
        <v>0</v>
      </c>
      <c r="O40" s="42">
        <f>IFERROR(SUMPRODUCT(('Бюджет на запуск'!$D$8:$D$21)*('Бюджет на запуск'!O$8:O$21)*(('Бюджет на запуск'!$C$8:$C$21=Расчет!$D40)))/$E40,0)</f>
        <v>0</v>
      </c>
      <c r="P40" s="42">
        <f>IFERROR(SUMPRODUCT(('Бюджет на запуск'!$D$8:$D$21)*('Бюджет на запуск'!P$8:P$21)*(('Бюджет на запуск'!$C$8:$C$21=Расчет!$D40)))/$E40,0)</f>
        <v>0</v>
      </c>
      <c r="Q40" s="42">
        <f>IFERROR(SUMPRODUCT(('Бюджет на запуск'!$D$8:$D$21)*('Бюджет на запуск'!Q$8:Q$21)*(('Бюджет на запуск'!$C$8:$C$21=Расчет!$D40)))/$E40,0)</f>
        <v>0</v>
      </c>
      <c r="R40" s="42">
        <f>IFERROR(SUMPRODUCT(('Бюджет на запуск'!$D$8:$D$21)*('Бюджет на запуск'!R$8:R$21)*(('Бюджет на запуск'!$C$8:$C$21=Расчет!$D40)))/$E40,0)</f>
        <v>0</v>
      </c>
      <c r="S40" s="42">
        <f>IFERROR(SUMPRODUCT(('Бюджет на запуск'!$D$8:$D$21)*('Бюджет на запуск'!S$8:S$21)*(('Бюджет на запуск'!$C$8:$C$21=Расчет!$D40)))/$E40,0)</f>
        <v>0</v>
      </c>
    </row>
    <row r="41" spans="1:19" s="2" customFormat="1" ht="16.5" x14ac:dyDescent="0.3">
      <c r="A41" s="223"/>
      <c r="B41" s="223"/>
      <c r="C41" s="200" t="str">
        <f t="shared" ref="C41:C43" si="47">"Анализ рынка продукта"&amp;" в "&amp;D41</f>
        <v>Анализ рынка продукта в AED</v>
      </c>
      <c r="D41" s="229" t="str">
        <f>'Бюджет на запуск'!$I$3</f>
        <v>AED</v>
      </c>
      <c r="E41" s="230">
        <f>SUMIF('Бюджет на запуск'!$C$8:$C$21,Расчет!$D41,'Бюджет на запуск'!$D$8:$D$21)</f>
        <v>50000</v>
      </c>
      <c r="F41" s="231">
        <f>IFERROR(SUMPRODUCT(('Бюджет на запуск'!$D$8:$D$21)*('Бюджет на запуск'!$E$8:$E$21)*(('Бюджет на запуск'!$C$8:$C$21=Расчет!$D41)))/$E41,0)</f>
        <v>0.05</v>
      </c>
      <c r="G41" s="232">
        <f t="shared" si="46"/>
        <v>0.99999999999999989</v>
      </c>
      <c r="H41" s="42">
        <f>IFERROR(SUMPRODUCT(('Бюджет на запуск'!$D$8:$D$21)*('Бюджет на запуск'!H$8:H$21)*(('Бюджет на запуск'!$C$8:$C$21=Расчет!$D41)))/$E41,0)</f>
        <v>0.05</v>
      </c>
      <c r="I41" s="42">
        <f>IFERROR(SUMPRODUCT(('Бюджет на запуск'!$D$8:$D$21)*('Бюджет на запуск'!I$8:I$21)*(('Бюджет на запуск'!$C$8:$C$21=Расчет!$D41)))/$E41,0)</f>
        <v>0.15</v>
      </c>
      <c r="J41" s="42">
        <f>IFERROR(SUMPRODUCT(('Бюджет на запуск'!$D$8:$D$21)*('Бюджет на запуск'!J$8:J$21)*(('Бюджет на запуск'!$C$8:$C$21=Расчет!$D41)))/$E41,0)</f>
        <v>0.21666666666666665</v>
      </c>
      <c r="K41" s="42">
        <f>IFERROR(SUMPRODUCT(('Бюджет на запуск'!$D$8:$D$21)*('Бюджет на запуск'!K$8:K$21)*(('Бюджет на запуск'!$C$8:$C$21=Расчет!$D41)))/$E41,0)</f>
        <v>0.28333333333333327</v>
      </c>
      <c r="L41" s="42">
        <f>IFERROR(SUMPRODUCT(('Бюджет на запуск'!$D$8:$D$21)*('Бюджет на запуск'!L$8:L$21)*(('Бюджет на запуск'!$C$8:$C$21=Расчет!$D41)))/$E41,0)</f>
        <v>0.23333333333333328</v>
      </c>
      <c r="M41" s="42">
        <f>IFERROR(SUMPRODUCT(('Бюджет на запуск'!$D$8:$D$21)*('Бюджет на запуск'!M$8:M$21)*(('Бюджет на запуск'!$C$8:$C$21=Расчет!$D41)))/$E41,0)</f>
        <v>6.6666666666666666E-2</v>
      </c>
      <c r="N41" s="42">
        <f>IFERROR(SUMPRODUCT(('Бюджет на запуск'!$D$8:$D$21)*('Бюджет на запуск'!N$8:N$21)*(('Бюджет на запуск'!$C$8:$C$21=Расчет!$D41)))/$E41,0)</f>
        <v>0</v>
      </c>
      <c r="O41" s="42">
        <f>IFERROR(SUMPRODUCT(('Бюджет на запуск'!$D$8:$D$21)*('Бюджет на запуск'!O$8:O$21)*(('Бюджет на запуск'!$C$8:$C$21=Расчет!$D41)))/$E41,0)</f>
        <v>0</v>
      </c>
      <c r="P41" s="42">
        <f>IFERROR(SUMPRODUCT(('Бюджет на запуск'!$D$8:$D$21)*('Бюджет на запуск'!P$8:P$21)*(('Бюджет на запуск'!$C$8:$C$21=Расчет!$D41)))/$E41,0)</f>
        <v>0</v>
      </c>
      <c r="Q41" s="42">
        <f>IFERROR(SUMPRODUCT(('Бюджет на запуск'!$D$8:$D$21)*('Бюджет на запуск'!Q$8:Q$21)*(('Бюджет на запуск'!$C$8:$C$21=Расчет!$D41)))/$E41,0)</f>
        <v>0</v>
      </c>
      <c r="R41" s="42">
        <f>IFERROR(SUMPRODUCT(('Бюджет на запуск'!$D$8:$D$21)*('Бюджет на запуск'!R$8:R$21)*(('Бюджет на запуск'!$C$8:$C$21=Расчет!$D41)))/$E41,0)</f>
        <v>0</v>
      </c>
      <c r="S41" s="42">
        <f>IFERROR(SUMPRODUCT(('Бюджет на запуск'!$D$8:$D$21)*('Бюджет на запуск'!S$8:S$21)*(('Бюджет на запуск'!$C$8:$C$21=Расчет!$D41)))/$E41,0)</f>
        <v>0</v>
      </c>
    </row>
    <row r="42" spans="1:19" s="2" customFormat="1" ht="16.5" x14ac:dyDescent="0.3">
      <c r="A42" s="223"/>
      <c r="B42" s="223"/>
      <c r="C42" s="200" t="str">
        <f t="shared" si="47"/>
        <v>Анализ рынка продукта в USD</v>
      </c>
      <c r="D42" s="229" t="str">
        <f>'Бюджет на запуск'!$J$3</f>
        <v>USD</v>
      </c>
      <c r="E42" s="230">
        <f>SUMIF('Бюджет на запуск'!$C$8:$C$21,Расчет!$D42,'Бюджет на запуск'!$D$8:$D$21)</f>
        <v>0</v>
      </c>
      <c r="F42" s="231">
        <f>IFERROR(SUMPRODUCT(('Бюджет на запуск'!$D$8:$D$21)*('Бюджет на запуск'!$E$8:$E$21)*(('Бюджет на запуск'!$C$8:$C$21=Расчет!$D42)))/$E42,0)</f>
        <v>0</v>
      </c>
      <c r="G42" s="232">
        <f t="shared" si="46"/>
        <v>1</v>
      </c>
      <c r="H42" s="42">
        <f>IFERROR(SUMPRODUCT(('Бюджет на запуск'!$D$8:$D$21)*('Бюджет на запуск'!H$8:H$21)*(('Бюджет на запуск'!$C$8:$C$21=Расчет!$D42)))/$E42,0)</f>
        <v>0</v>
      </c>
      <c r="I42" s="42">
        <f>IFERROR(SUMPRODUCT(('Бюджет на запуск'!$D$8:$D$21)*('Бюджет на запуск'!I$8:I$21)*(('Бюджет на запуск'!$C$8:$C$21=Расчет!$D42)))/$E42,0)</f>
        <v>0</v>
      </c>
      <c r="J42" s="42">
        <f>IFERROR(SUMPRODUCT(('Бюджет на запуск'!$D$8:$D$21)*('Бюджет на запуск'!J$8:J$21)*(('Бюджет на запуск'!$C$8:$C$21=Расчет!$D42)))/$E42,0)</f>
        <v>0</v>
      </c>
      <c r="K42" s="42">
        <f>IFERROR(SUMPRODUCT(('Бюджет на запуск'!$D$8:$D$21)*('Бюджет на запуск'!K$8:K$21)*(('Бюджет на запуск'!$C$8:$C$21=Расчет!$D42)))/$E42,0)</f>
        <v>0</v>
      </c>
      <c r="L42" s="42">
        <f>IFERROR(SUMPRODUCT(('Бюджет на запуск'!$D$8:$D$21)*('Бюджет на запуск'!L$8:L$21)*(('Бюджет на запуск'!$C$8:$C$21=Расчет!$D42)))/$E42,0)</f>
        <v>0</v>
      </c>
      <c r="M42" s="42">
        <f>IFERROR(SUMPRODUCT(('Бюджет на запуск'!$D$8:$D$21)*('Бюджет на запуск'!M$8:M$21)*(('Бюджет на запуск'!$C$8:$C$21=Расчет!$D42)))/$E42,0)</f>
        <v>0</v>
      </c>
      <c r="N42" s="42">
        <f>IFERROR(SUMPRODUCT(('Бюджет на запуск'!$D$8:$D$21)*('Бюджет на запуск'!N$8:N$21)*(('Бюджет на запуск'!$C$8:$C$21=Расчет!$D42)))/$E42,0)</f>
        <v>0</v>
      </c>
      <c r="O42" s="42">
        <f>IFERROR(SUMPRODUCT(('Бюджет на запуск'!$D$8:$D$21)*('Бюджет на запуск'!O$8:O$21)*(('Бюджет на запуск'!$C$8:$C$21=Расчет!$D42)))/$E42,0)</f>
        <v>0</v>
      </c>
      <c r="P42" s="42">
        <f>IFERROR(SUMPRODUCT(('Бюджет на запуск'!$D$8:$D$21)*('Бюджет на запуск'!P$8:P$21)*(('Бюджет на запуск'!$C$8:$C$21=Расчет!$D42)))/$E42,0)</f>
        <v>0</v>
      </c>
      <c r="Q42" s="42">
        <f>IFERROR(SUMPRODUCT(('Бюджет на запуск'!$D$8:$D$21)*('Бюджет на запуск'!Q$8:Q$21)*(('Бюджет на запуск'!$C$8:$C$21=Расчет!$D42)))/$E42,0)</f>
        <v>0</v>
      </c>
      <c r="R42" s="42">
        <f>IFERROR(SUMPRODUCT(('Бюджет на запуск'!$D$8:$D$21)*('Бюджет на запуск'!R$8:R$21)*(('Бюджет на запуск'!$C$8:$C$21=Расчет!$D42)))/$E42,0)</f>
        <v>0</v>
      </c>
      <c r="S42" s="42">
        <f>IFERROR(SUMPRODUCT(('Бюджет на запуск'!$D$8:$D$21)*('Бюджет на запуск'!S$8:S$21)*(('Бюджет на запуск'!$C$8:$C$21=Расчет!$D42)))/$E42,0)</f>
        <v>0</v>
      </c>
    </row>
    <row r="43" spans="1:19" s="2" customFormat="1" ht="16.5" x14ac:dyDescent="0.3">
      <c r="A43" s="223"/>
      <c r="B43" s="223"/>
      <c r="C43" s="200" t="str">
        <f t="shared" si="47"/>
        <v>Анализ рынка продукта в CNY</v>
      </c>
      <c r="D43" s="229" t="str">
        <f>'Бюджет на запуск'!$K$3</f>
        <v>CNY</v>
      </c>
      <c r="E43" s="230">
        <f>SUMIF('Бюджет на запуск'!$C$8:$C$21,Расчет!$D43,'Бюджет на запуск'!$D$8:$D$21)</f>
        <v>0</v>
      </c>
      <c r="F43" s="231">
        <f>IFERROR(SUMPRODUCT(('Бюджет на запуск'!$D$8:$D$21)*('Бюджет на запуск'!$E$8:$E$21)*(('Бюджет на запуск'!$C$8:$C$21=Расчет!$D43)))/$E43,0)</f>
        <v>0</v>
      </c>
      <c r="G43" s="232">
        <f t="shared" si="46"/>
        <v>1</v>
      </c>
      <c r="H43" s="42">
        <f>IFERROR(SUMPRODUCT(('Бюджет на запуск'!$D$8:$D$21)*('Бюджет на запуск'!H$8:H$21)*(('Бюджет на запуск'!$C$8:$C$21=Расчет!$D43)))/$E43,0)</f>
        <v>0</v>
      </c>
      <c r="I43" s="42">
        <f>IFERROR(SUMPRODUCT(('Бюджет на запуск'!$D$8:$D$21)*('Бюджет на запуск'!I$8:I$21)*(('Бюджет на запуск'!$C$8:$C$21=Расчет!$D43)))/$E43,0)</f>
        <v>0</v>
      </c>
      <c r="J43" s="42">
        <f>IFERROR(SUMPRODUCT(('Бюджет на запуск'!$D$8:$D$21)*('Бюджет на запуск'!J$8:J$21)*(('Бюджет на запуск'!$C$8:$C$21=Расчет!$D43)))/$E43,0)</f>
        <v>0</v>
      </c>
      <c r="K43" s="42">
        <f>IFERROR(SUMPRODUCT(('Бюджет на запуск'!$D$8:$D$21)*('Бюджет на запуск'!K$8:K$21)*(('Бюджет на запуск'!$C$8:$C$21=Расчет!$D43)))/$E43,0)</f>
        <v>0</v>
      </c>
      <c r="L43" s="42">
        <f>IFERROR(SUMPRODUCT(('Бюджет на запуск'!$D$8:$D$21)*('Бюджет на запуск'!L$8:L$21)*(('Бюджет на запуск'!$C$8:$C$21=Расчет!$D43)))/$E43,0)</f>
        <v>0</v>
      </c>
      <c r="M43" s="42">
        <f>IFERROR(SUMPRODUCT(('Бюджет на запуск'!$D$8:$D$21)*('Бюджет на запуск'!M$8:M$21)*(('Бюджет на запуск'!$C$8:$C$21=Расчет!$D43)))/$E43,0)</f>
        <v>0</v>
      </c>
      <c r="N43" s="42">
        <f>IFERROR(SUMPRODUCT(('Бюджет на запуск'!$D$8:$D$21)*('Бюджет на запуск'!N$8:N$21)*(('Бюджет на запуск'!$C$8:$C$21=Расчет!$D43)))/$E43,0)</f>
        <v>0</v>
      </c>
      <c r="O43" s="42">
        <f>IFERROR(SUMPRODUCT(('Бюджет на запуск'!$D$8:$D$21)*('Бюджет на запуск'!O$8:O$21)*(('Бюджет на запуск'!$C$8:$C$21=Расчет!$D43)))/$E43,0)</f>
        <v>0</v>
      </c>
      <c r="P43" s="42">
        <f>IFERROR(SUMPRODUCT(('Бюджет на запуск'!$D$8:$D$21)*('Бюджет на запуск'!P$8:P$21)*(('Бюджет на запуск'!$C$8:$C$21=Расчет!$D43)))/$E43,0)</f>
        <v>0</v>
      </c>
      <c r="Q43" s="42">
        <f>IFERROR(SUMPRODUCT(('Бюджет на запуск'!$D$8:$D$21)*('Бюджет на запуск'!Q$8:Q$21)*(('Бюджет на запуск'!$C$8:$C$21=Расчет!$D43)))/$E43,0)</f>
        <v>0</v>
      </c>
      <c r="R43" s="42">
        <f>IFERROR(SUMPRODUCT(('Бюджет на запуск'!$D$8:$D$21)*('Бюджет на запуск'!R$8:R$21)*(('Бюджет на запуск'!$C$8:$C$21=Расчет!$D43)))/$E43,0)</f>
        <v>0</v>
      </c>
      <c r="S43" s="42">
        <f>IFERROR(SUMPRODUCT(('Бюджет на запуск'!$D$8:$D$21)*('Бюджет на запуск'!S$8:S$21)*(('Бюджет на запуск'!$C$8:$C$21=Расчет!$D43)))/$E43,0)</f>
        <v>0</v>
      </c>
    </row>
    <row r="44" spans="1:19" s="2" customFormat="1" ht="16.5" x14ac:dyDescent="0.3">
      <c r="A44" s="223"/>
      <c r="B44" s="223"/>
      <c r="C44" s="200" t="str">
        <f>"НИОКР"&amp;" в "&amp;D44</f>
        <v>НИОКР в RUB</v>
      </c>
      <c r="D44" s="229" t="str">
        <f>'Бюджет на запуск'!$H$3</f>
        <v>RUB</v>
      </c>
      <c r="E44" s="230">
        <f>SUMIF('Бюджет на запуск'!$C$24:$C$29,Расчет!$D44,'Бюджет на запуск'!$D$24:$D$29)</f>
        <v>10000000</v>
      </c>
      <c r="F44" s="231">
        <f>IFERROR(SUMPRODUCT(('Бюджет на запуск'!$D$24:$D$29)*('Бюджет на запуск'!$E$24:$E$29)*(('Бюджет на запуск'!$C$24:$C$29=Расчет!$D44)))/$E44,0)</f>
        <v>0</v>
      </c>
      <c r="G44" s="232">
        <f t="shared" si="46"/>
        <v>0.99999999999999989</v>
      </c>
      <c r="H44" s="42">
        <f>IFERROR(SUMPRODUCT(('Бюджет на запуск'!$D$24:$D$29)*('Бюджет на запуск'!H$24:H$29)*(('Бюджет на запуск'!$C$24:$C$29=Расчет!$D44)))/$E44,0)</f>
        <v>0.125</v>
      </c>
      <c r="I44" s="42">
        <f>IFERROR(SUMPRODUCT(('Бюджет на запуск'!$D$24:$D$29)*('Бюджет на запуск'!I$24:I$29)*(('Бюджет на запуск'!$C$24:$C$29=Расчет!$D44)))/$E44,0)</f>
        <v>0.125</v>
      </c>
      <c r="J44" s="42">
        <f>IFERROR(SUMPRODUCT(('Бюджет на запуск'!$D$24:$D$29)*('Бюджет на запуск'!J$24:J$29)*(('Бюджет на запуск'!$C$24:$C$29=Расчет!$D44)))/$E44,0)</f>
        <v>0.29166666666666663</v>
      </c>
      <c r="K44" s="42">
        <f>IFERROR(SUMPRODUCT(('Бюджет на запуск'!$D$24:$D$29)*('Бюджет на запуск'!K$24:K$29)*(('Бюджет на запуск'!$C$24:$C$29=Расчет!$D44)))/$E44,0)</f>
        <v>0.125</v>
      </c>
      <c r="L44" s="42">
        <f>IFERROR(SUMPRODUCT(('Бюджет на запуск'!$D$24:$D$29)*('Бюджет на запуск'!L$24:L$29)*(('Бюджет на запуск'!$C$24:$C$29=Расчет!$D44)))/$E44,0)</f>
        <v>0.16666666666666666</v>
      </c>
      <c r="M44" s="42">
        <f>IFERROR(SUMPRODUCT(('Бюджет на запуск'!$D$24:$D$29)*('Бюджет на запуск'!M$24:M$29)*(('Бюджет на запуск'!$C$24:$C$29=Расчет!$D44)))/$E44,0)</f>
        <v>0</v>
      </c>
      <c r="N44" s="42">
        <f>IFERROR(SUMPRODUCT(('Бюджет на запуск'!$D$24:$D$29)*('Бюджет на запуск'!N$24:N$29)*(('Бюджет на запуск'!$C$24:$C$29=Расчет!$D44)))/$E44,0)</f>
        <v>0.16666666666666666</v>
      </c>
      <c r="O44" s="42">
        <f>IFERROR(SUMPRODUCT(('Бюджет на запуск'!$D$24:$D$29)*('Бюджет на запуск'!O$24:O$29)*(('Бюджет на запуск'!$C$24:$C$29=Расчет!$D44)))/$E44,0)</f>
        <v>0</v>
      </c>
      <c r="P44" s="42">
        <f>IFERROR(SUMPRODUCT(('Бюджет на запуск'!$D$24:$D$29)*('Бюджет на запуск'!P$24:P$29)*(('Бюджет на запуск'!$C$24:$C$29=Расчет!$D44)))/$E44,0)</f>
        <v>0</v>
      </c>
      <c r="Q44" s="42">
        <f>IFERROR(SUMPRODUCT(('Бюджет на запуск'!$D$24:$D$29)*('Бюджет на запуск'!Q$24:Q$29)*(('Бюджет на запуск'!$C$24:$C$29=Расчет!$D44)))/$E44,0)</f>
        <v>0</v>
      </c>
      <c r="R44" s="42">
        <f>IFERROR(SUMPRODUCT(('Бюджет на запуск'!$D$24:$D$29)*('Бюджет на запуск'!R$24:R$29)*(('Бюджет на запуск'!$C$24:$C$29=Расчет!$D44)))/$E44,0)</f>
        <v>0</v>
      </c>
      <c r="S44" s="42">
        <f>IFERROR(SUMPRODUCT(('Бюджет на запуск'!$D$24:$D$29)*('Бюджет на запуск'!S$24:S$29)*(('Бюджет на запуск'!$C$24:$C$29=Расчет!$D44)))/$E44,0)</f>
        <v>0</v>
      </c>
    </row>
    <row r="45" spans="1:19" s="2" customFormat="1" ht="16.5" x14ac:dyDescent="0.3">
      <c r="A45" s="223"/>
      <c r="B45" s="223"/>
      <c r="C45" s="200" t="str">
        <f t="shared" ref="C45:C46" si="48">"НИОКР"&amp;" в "&amp;D45</f>
        <v>НИОКР в AED</v>
      </c>
      <c r="D45" s="229" t="str">
        <f>'Бюджет на запуск'!$I$3</f>
        <v>AED</v>
      </c>
      <c r="E45" s="230">
        <f>SUMIF('Бюджет на запуск'!$C$24:$C$29,Расчет!$D45,'Бюджет на запуск'!$D$24:$D$29)</f>
        <v>0</v>
      </c>
      <c r="F45" s="231">
        <f>IFERROR(SUMPRODUCT(('Бюджет на запуск'!$D$24:$D$29)*('Бюджет на запуск'!$E$24:$E$29)*(('Бюджет на запуск'!$C$24:$C$29=Расчет!$D45)))/$E45,0)</f>
        <v>0</v>
      </c>
      <c r="G45" s="232">
        <f t="shared" si="46"/>
        <v>1</v>
      </c>
      <c r="H45" s="42">
        <f>IFERROR(SUMPRODUCT(('Бюджет на запуск'!$D$24:$D$29)*('Бюджет на запуск'!H$24:H$29)*(('Бюджет на запуск'!$C$24:$C$29=Расчет!$D45)))/$E45,0)</f>
        <v>0</v>
      </c>
      <c r="I45" s="42">
        <f>IFERROR(SUMPRODUCT(('Бюджет на запуск'!$D$24:$D$29)*('Бюджет на запуск'!I$24:I$29)*(('Бюджет на запуск'!$C$24:$C$29=Расчет!$D45)))/$E45,0)</f>
        <v>0</v>
      </c>
      <c r="J45" s="42">
        <f>IFERROR(SUMPRODUCT(('Бюджет на запуск'!$D$24:$D$29)*('Бюджет на запуск'!J$24:J$29)*(('Бюджет на запуск'!$C$24:$C$29=Расчет!$D45)))/$E45,0)</f>
        <v>0</v>
      </c>
      <c r="K45" s="42">
        <f>IFERROR(SUMPRODUCT(('Бюджет на запуск'!$D$24:$D$29)*('Бюджет на запуск'!K$24:K$29)*(('Бюджет на запуск'!$C$24:$C$29=Расчет!$D45)))/$E45,0)</f>
        <v>0</v>
      </c>
      <c r="L45" s="42">
        <f>IFERROR(SUMPRODUCT(('Бюджет на запуск'!$D$24:$D$29)*('Бюджет на запуск'!L$24:L$29)*(('Бюджет на запуск'!$C$24:$C$29=Расчет!$D45)))/$E45,0)</f>
        <v>0</v>
      </c>
      <c r="M45" s="42">
        <f>IFERROR(SUMPRODUCT(('Бюджет на запуск'!$D$24:$D$29)*('Бюджет на запуск'!M$24:M$29)*(('Бюджет на запуск'!$C$24:$C$29=Расчет!$D45)))/$E45,0)</f>
        <v>0</v>
      </c>
      <c r="N45" s="42">
        <f>IFERROR(SUMPRODUCT(('Бюджет на запуск'!$D$24:$D$29)*('Бюджет на запуск'!N$24:N$29)*(('Бюджет на запуск'!$C$24:$C$29=Расчет!$D45)))/$E45,0)</f>
        <v>0</v>
      </c>
      <c r="O45" s="42">
        <f>IFERROR(SUMPRODUCT(('Бюджет на запуск'!$D$24:$D$29)*('Бюджет на запуск'!O$24:O$29)*(('Бюджет на запуск'!$C$24:$C$29=Расчет!$D45)))/$E45,0)</f>
        <v>0</v>
      </c>
      <c r="P45" s="42">
        <f>IFERROR(SUMPRODUCT(('Бюджет на запуск'!$D$24:$D$29)*('Бюджет на запуск'!P$24:P$29)*(('Бюджет на запуск'!$C$24:$C$29=Расчет!$D45)))/$E45,0)</f>
        <v>0</v>
      </c>
      <c r="Q45" s="42">
        <f>IFERROR(SUMPRODUCT(('Бюджет на запуск'!$D$24:$D$29)*('Бюджет на запуск'!Q$24:Q$29)*(('Бюджет на запуск'!$C$24:$C$29=Расчет!$D45)))/$E45,0)</f>
        <v>0</v>
      </c>
      <c r="R45" s="42">
        <f>IFERROR(SUMPRODUCT(('Бюджет на запуск'!$D$24:$D$29)*('Бюджет на запуск'!R$24:R$29)*(('Бюджет на запуск'!$C$24:$C$29=Расчет!$D45)))/$E45,0)</f>
        <v>0</v>
      </c>
      <c r="S45" s="42">
        <f>IFERROR(SUMPRODUCT(('Бюджет на запуск'!$D$24:$D$29)*('Бюджет на запуск'!S$24:S$29)*(('Бюджет на запуск'!$C$24:$C$29=Расчет!$D45)))/$E45,0)</f>
        <v>0</v>
      </c>
    </row>
    <row r="46" spans="1:19" s="2" customFormat="1" ht="16.5" x14ac:dyDescent="0.3">
      <c r="A46" s="223"/>
      <c r="B46" s="223"/>
      <c r="C46" s="200" t="str">
        <f t="shared" si="48"/>
        <v>НИОКР в USD</v>
      </c>
      <c r="D46" s="229" t="str">
        <f>'Бюджет на запуск'!$J$3</f>
        <v>USD</v>
      </c>
      <c r="E46" s="230">
        <f>SUMIF('Бюджет на запуск'!$C$24:$C$29,Расчет!$D46,'Бюджет на запуск'!$D$24:$D$29)</f>
        <v>0</v>
      </c>
      <c r="F46" s="231">
        <f>IFERROR(SUMPRODUCT(('Бюджет на запуск'!$D$24:$D$29)*('Бюджет на запуск'!$E$24:$E$29)*(('Бюджет на запуск'!$C$24:$C$29=Расчет!$D46)))/$E46,0)</f>
        <v>0</v>
      </c>
      <c r="G46" s="232">
        <f t="shared" si="46"/>
        <v>1</v>
      </c>
      <c r="H46" s="42">
        <f>IFERROR(SUMPRODUCT(('Бюджет на запуск'!$D$24:$D$29)*('Бюджет на запуск'!H$24:H$29)*(('Бюджет на запуск'!$C$24:$C$29=Расчет!$D46)))/$E46,0)</f>
        <v>0</v>
      </c>
      <c r="I46" s="42">
        <f>IFERROR(SUMPRODUCT(('Бюджет на запуск'!$D$24:$D$29)*('Бюджет на запуск'!I$24:I$29)*(('Бюджет на запуск'!$C$24:$C$29=Расчет!$D46)))/$E46,0)</f>
        <v>0</v>
      </c>
      <c r="J46" s="42">
        <f>IFERROR(SUMPRODUCT(('Бюджет на запуск'!$D$24:$D$29)*('Бюджет на запуск'!J$24:J$29)*(('Бюджет на запуск'!$C$24:$C$29=Расчет!$D46)))/$E46,0)</f>
        <v>0</v>
      </c>
      <c r="K46" s="42">
        <f>IFERROR(SUMPRODUCT(('Бюджет на запуск'!$D$24:$D$29)*('Бюджет на запуск'!K$24:K$29)*(('Бюджет на запуск'!$C$24:$C$29=Расчет!$D46)))/$E46,0)</f>
        <v>0</v>
      </c>
      <c r="L46" s="42">
        <f>IFERROR(SUMPRODUCT(('Бюджет на запуск'!$D$24:$D$29)*('Бюджет на запуск'!L$24:L$29)*(('Бюджет на запуск'!$C$24:$C$29=Расчет!$D46)))/$E46,0)</f>
        <v>0</v>
      </c>
      <c r="M46" s="42">
        <f>IFERROR(SUMPRODUCT(('Бюджет на запуск'!$D$24:$D$29)*('Бюджет на запуск'!M$24:M$29)*(('Бюджет на запуск'!$C$24:$C$29=Расчет!$D46)))/$E46,0)</f>
        <v>0</v>
      </c>
      <c r="N46" s="42">
        <f>IFERROR(SUMPRODUCT(('Бюджет на запуск'!$D$24:$D$29)*('Бюджет на запуск'!N$24:N$29)*(('Бюджет на запуск'!$C$24:$C$29=Расчет!$D46)))/$E46,0)</f>
        <v>0</v>
      </c>
      <c r="O46" s="42">
        <f>IFERROR(SUMPRODUCT(('Бюджет на запуск'!$D$24:$D$29)*('Бюджет на запуск'!O$24:O$29)*(('Бюджет на запуск'!$C$24:$C$29=Расчет!$D46)))/$E46,0)</f>
        <v>0</v>
      </c>
      <c r="P46" s="42">
        <f>IFERROR(SUMPRODUCT(('Бюджет на запуск'!$D$24:$D$29)*('Бюджет на запуск'!P$24:P$29)*(('Бюджет на запуск'!$C$24:$C$29=Расчет!$D46)))/$E46,0)</f>
        <v>0</v>
      </c>
      <c r="Q46" s="42">
        <f>IFERROR(SUMPRODUCT(('Бюджет на запуск'!$D$24:$D$29)*('Бюджет на запуск'!Q$24:Q$29)*(('Бюджет на запуск'!$C$24:$C$29=Расчет!$D46)))/$E46,0)</f>
        <v>0</v>
      </c>
      <c r="R46" s="42">
        <f>IFERROR(SUMPRODUCT(('Бюджет на запуск'!$D$24:$D$29)*('Бюджет на запуск'!R$24:R$29)*(('Бюджет на запуск'!$C$24:$C$29=Расчет!$D46)))/$E46,0)</f>
        <v>0</v>
      </c>
      <c r="S46" s="42">
        <f>IFERROR(SUMPRODUCT(('Бюджет на запуск'!$D$24:$D$29)*('Бюджет на запуск'!S$24:S$29)*(('Бюджет на запуск'!$C$24:$C$29=Расчет!$D46)))/$E46,0)</f>
        <v>0</v>
      </c>
    </row>
    <row r="47" spans="1:19" s="2" customFormat="1" ht="16.5" x14ac:dyDescent="0.3">
      <c r="A47" s="223"/>
      <c r="B47" s="223"/>
      <c r="C47" s="200" t="str">
        <f>"НИОКР"&amp;" в "&amp;D47</f>
        <v>НИОКР в CNY</v>
      </c>
      <c r="D47" s="229" t="str">
        <f>'Бюджет на запуск'!$K$3</f>
        <v>CNY</v>
      </c>
      <c r="E47" s="230">
        <f>SUMIF('Бюджет на запуск'!$C$24:$C$29,Расчет!$D47,'Бюджет на запуск'!$D$24:$D$29)</f>
        <v>0</v>
      </c>
      <c r="F47" s="231">
        <f>IFERROR(SUMPRODUCT(('Бюджет на запуск'!$D$24:$D$29)*('Бюджет на запуск'!$E$24:$E$29)*(('Бюджет на запуск'!$C$24:$C$29=Расчет!$D47)))/$E47,0)</f>
        <v>0</v>
      </c>
      <c r="G47" s="232">
        <f t="shared" si="46"/>
        <v>1</v>
      </c>
      <c r="H47" s="42">
        <f>IFERROR(SUMPRODUCT(('Бюджет на запуск'!$D$24:$D$29)*('Бюджет на запуск'!H$24:H$29)*(('Бюджет на запуск'!$C$24:$C$29=Расчет!$D47)))/$E47,0)</f>
        <v>0</v>
      </c>
      <c r="I47" s="42">
        <f>IFERROR(SUMPRODUCT(('Бюджет на запуск'!$D$24:$D$29)*('Бюджет на запуск'!I$24:I$29)*(('Бюджет на запуск'!$C$24:$C$29=Расчет!$D47)))/$E47,0)</f>
        <v>0</v>
      </c>
      <c r="J47" s="42">
        <f>IFERROR(SUMPRODUCT(('Бюджет на запуск'!$D$24:$D$29)*('Бюджет на запуск'!J$24:J$29)*(('Бюджет на запуск'!$C$24:$C$29=Расчет!$D47)))/$E47,0)</f>
        <v>0</v>
      </c>
      <c r="K47" s="42">
        <f>IFERROR(SUMPRODUCT(('Бюджет на запуск'!$D$24:$D$29)*('Бюджет на запуск'!K$24:K$29)*(('Бюджет на запуск'!$C$24:$C$29=Расчет!$D47)))/$E47,0)</f>
        <v>0</v>
      </c>
      <c r="L47" s="42">
        <f>IFERROR(SUMPRODUCT(('Бюджет на запуск'!$D$24:$D$29)*('Бюджет на запуск'!L$24:L$29)*(('Бюджет на запуск'!$C$24:$C$29=Расчет!$D47)))/$E47,0)</f>
        <v>0</v>
      </c>
      <c r="M47" s="42">
        <f>IFERROR(SUMPRODUCT(('Бюджет на запуск'!$D$24:$D$29)*('Бюджет на запуск'!M$24:M$29)*(('Бюджет на запуск'!$C$24:$C$29=Расчет!$D47)))/$E47,0)</f>
        <v>0</v>
      </c>
      <c r="N47" s="42">
        <f>IFERROR(SUMPRODUCT(('Бюджет на запуск'!$D$24:$D$29)*('Бюджет на запуск'!N$24:N$29)*(('Бюджет на запуск'!$C$24:$C$29=Расчет!$D47)))/$E47,0)</f>
        <v>0</v>
      </c>
      <c r="O47" s="42">
        <f>IFERROR(SUMPRODUCT(('Бюджет на запуск'!$D$24:$D$29)*('Бюджет на запуск'!O$24:O$29)*(('Бюджет на запуск'!$C$24:$C$29=Расчет!$D47)))/$E47,0)</f>
        <v>0</v>
      </c>
      <c r="P47" s="42">
        <f>IFERROR(SUMPRODUCT(('Бюджет на запуск'!$D$24:$D$29)*('Бюджет на запуск'!P$24:P$29)*(('Бюджет на запуск'!$C$24:$C$29=Расчет!$D47)))/$E47,0)</f>
        <v>0</v>
      </c>
      <c r="Q47" s="42">
        <f>IFERROR(SUMPRODUCT(('Бюджет на запуск'!$D$24:$D$29)*('Бюджет на запуск'!Q$24:Q$29)*(('Бюджет на запуск'!$C$24:$C$29=Расчет!$D47)))/$E47,0)</f>
        <v>0</v>
      </c>
      <c r="R47" s="42">
        <f>IFERROR(SUMPRODUCT(('Бюджет на запуск'!$D$24:$D$29)*('Бюджет на запуск'!R$24:R$29)*(('Бюджет на запуск'!$C$24:$C$29=Расчет!$D47)))/$E47,0)</f>
        <v>0</v>
      </c>
      <c r="S47" s="42">
        <f>IFERROR(SUMPRODUCT(('Бюджет на запуск'!$D$24:$D$29)*('Бюджет на запуск'!S$24:S$29)*(('Бюджет на запуск'!$C$24:$C$29=Расчет!$D47)))/$E47,0)</f>
        <v>0</v>
      </c>
    </row>
    <row r="48" spans="1:19" s="2" customFormat="1" ht="16.5" x14ac:dyDescent="0.3">
      <c r="A48" s="223"/>
      <c r="B48" s="223"/>
      <c r="C48" s="200" t="str">
        <f>"Расходы на подготовку производства"&amp;" в "&amp;D48</f>
        <v>Расходы на подготовку производства в RUB</v>
      </c>
      <c r="D48" s="229" t="str">
        <f>'Бюджет на запуск'!$H$3</f>
        <v>RUB</v>
      </c>
      <c r="E48" s="230">
        <f>SUMIF('Бюджет на запуск'!$C$32:$C$36,Расчет!$D48,'Бюджет на запуск'!$D$32:$D$36)</f>
        <v>500000</v>
      </c>
      <c r="F48" s="231">
        <f>IFERROR(SUMPRODUCT(('Бюджет на запуск'!$D$32:$D$36)*('Бюджет на запуск'!$E$32:$E$36)*(('Бюджет на запуск'!$C$32:$C$36=Расчет!$D48)))/$E48,0)</f>
        <v>0</v>
      </c>
      <c r="G48" s="232">
        <f t="shared" si="46"/>
        <v>1</v>
      </c>
      <c r="H48" s="42">
        <f>IFERROR(SUMPRODUCT(('Бюджет на запуск'!$D$32:$D$36)*('Бюджет на запуск'!H$32:H$36)*(('Бюджет на запуск'!$C$32:$C$36=Расчет!$D48)))/$E48,0)</f>
        <v>0.25</v>
      </c>
      <c r="I48" s="42">
        <f>IFERROR(SUMPRODUCT(('Бюджет на запуск'!$D$32:$D$36)*('Бюджет на запуск'!I$32:I$36)*(('Бюджет на запуск'!$C$32:$C$36=Расчет!$D48)))/$E48,0)</f>
        <v>0.25</v>
      </c>
      <c r="J48" s="42">
        <f>IFERROR(SUMPRODUCT(('Бюджет на запуск'!$D$32:$D$36)*('Бюджет на запуск'!J$32:J$36)*(('Бюджет на запуск'!$C$32:$C$36=Расчет!$D48)))/$E48,0)</f>
        <v>0.25</v>
      </c>
      <c r="K48" s="42">
        <f>IFERROR(SUMPRODUCT(('Бюджет на запуск'!$D$32:$D$36)*('Бюджет на запуск'!K$32:K$36)*(('Бюджет на запуск'!$C$32:$C$36=Расчет!$D48)))/$E48,0)</f>
        <v>0.25</v>
      </c>
      <c r="L48" s="42">
        <f>IFERROR(SUMPRODUCT(('Бюджет на запуск'!$D$32:$D$36)*('Бюджет на запуск'!L$32:L$36)*(('Бюджет на запуск'!$C$32:$C$36=Расчет!$D48)))/$E48,0)</f>
        <v>0</v>
      </c>
      <c r="M48" s="42">
        <f>IFERROR(SUMPRODUCT(('Бюджет на запуск'!$D$32:$D$36)*('Бюджет на запуск'!M$32:M$36)*(('Бюджет на запуск'!$C$32:$C$36=Расчет!$D48)))/$E48,0)</f>
        <v>0</v>
      </c>
      <c r="N48" s="42">
        <f>IFERROR(SUMPRODUCT(('Бюджет на запуск'!$D$32:$D$36)*('Бюджет на запуск'!N$32:N$36)*(('Бюджет на запуск'!$C$32:$C$36=Расчет!$D48)))/$E48,0)</f>
        <v>0</v>
      </c>
      <c r="O48" s="42">
        <f>IFERROR(SUMPRODUCT(('Бюджет на запуск'!$D$32:$D$36)*('Бюджет на запуск'!O$32:O$36)*(('Бюджет на запуск'!$C$32:$C$36=Расчет!$D48)))/$E48,0)</f>
        <v>0</v>
      </c>
      <c r="P48" s="42">
        <f>IFERROR(SUMPRODUCT(('Бюджет на запуск'!$D$32:$D$36)*('Бюджет на запуск'!P$32:P$36)*(('Бюджет на запуск'!$C$32:$C$36=Расчет!$D48)))/$E48,0)</f>
        <v>0</v>
      </c>
      <c r="Q48" s="42">
        <f>IFERROR(SUMPRODUCT(('Бюджет на запуск'!$D$32:$D$36)*('Бюджет на запуск'!Q$32:Q$36)*(('Бюджет на запуск'!$C$32:$C$36=Расчет!$D48)))/$E48,0)</f>
        <v>0</v>
      </c>
      <c r="R48" s="42">
        <f>IFERROR(SUMPRODUCT(('Бюджет на запуск'!$D$32:$D$36)*('Бюджет на запуск'!R$32:R$36)*(('Бюджет на запуск'!$C$32:$C$36=Расчет!$D48)))/$E48,0)</f>
        <v>0</v>
      </c>
      <c r="S48" s="42">
        <f>IFERROR(SUMPRODUCT(('Бюджет на запуск'!$D$32:$D$36)*('Бюджет на запуск'!S$32:S$36)*(('Бюджет на запуск'!$C$32:$C$36=Расчет!$D48)))/$E48,0)</f>
        <v>0</v>
      </c>
    </row>
    <row r="49" spans="1:19" s="2" customFormat="1" ht="16.5" x14ac:dyDescent="0.3">
      <c r="A49" s="223"/>
      <c r="B49" s="223"/>
      <c r="C49" s="200" t="str">
        <f t="shared" ref="C49:C51" si="49">"Расходы на подготовку производства"&amp;" в "&amp;D49</f>
        <v>Расходы на подготовку производства в AED</v>
      </c>
      <c r="D49" s="229" t="str">
        <f>'Бюджет на запуск'!$I$3</f>
        <v>AED</v>
      </c>
      <c r="E49" s="230">
        <f>SUMIF('Бюджет на запуск'!$C$32:$C$36,Расчет!$D49,'Бюджет на запуск'!$D$32:$D$36)</f>
        <v>0</v>
      </c>
      <c r="F49" s="231">
        <f>IFERROR(SUMPRODUCT(('Бюджет на запуск'!$D$32:$D$36)*('Бюджет на запуск'!$E$32:$E$36)*(('Бюджет на запуск'!$C$32:$C$36=Расчет!$D49)))/$E49,0)</f>
        <v>0</v>
      </c>
      <c r="G49" s="232">
        <f t="shared" si="46"/>
        <v>1</v>
      </c>
      <c r="H49" s="42">
        <f>IFERROR(SUMPRODUCT(('Бюджет на запуск'!$D$32:$D$36)*('Бюджет на запуск'!H$32:H$36)*(('Бюджет на запуск'!$C$32:$C$36=Расчет!$D49)))/$E49,0)</f>
        <v>0</v>
      </c>
      <c r="I49" s="42">
        <f>IFERROR(SUMPRODUCT(('Бюджет на запуск'!$D$32:$D$36)*('Бюджет на запуск'!I$32:I$36)*(('Бюджет на запуск'!$C$32:$C$36=Расчет!$D49)))/$E49,0)</f>
        <v>0</v>
      </c>
      <c r="J49" s="42">
        <f>IFERROR(SUMPRODUCT(('Бюджет на запуск'!$D$32:$D$36)*('Бюджет на запуск'!J$32:J$36)*(('Бюджет на запуск'!$C$32:$C$36=Расчет!$D49)))/$E49,0)</f>
        <v>0</v>
      </c>
      <c r="K49" s="42">
        <f>IFERROR(SUMPRODUCT(('Бюджет на запуск'!$D$32:$D$36)*('Бюджет на запуск'!K$32:K$36)*(('Бюджет на запуск'!$C$32:$C$36=Расчет!$D49)))/$E49,0)</f>
        <v>0</v>
      </c>
      <c r="L49" s="42">
        <f>IFERROR(SUMPRODUCT(('Бюджет на запуск'!$D$32:$D$36)*('Бюджет на запуск'!L$32:L$36)*(('Бюджет на запуск'!$C$32:$C$36=Расчет!$D49)))/$E49,0)</f>
        <v>0</v>
      </c>
      <c r="M49" s="42">
        <f>IFERROR(SUMPRODUCT(('Бюджет на запуск'!$D$32:$D$36)*('Бюджет на запуск'!M$32:M$36)*(('Бюджет на запуск'!$C$32:$C$36=Расчет!$D49)))/$E49,0)</f>
        <v>0</v>
      </c>
      <c r="N49" s="42">
        <f>IFERROR(SUMPRODUCT(('Бюджет на запуск'!$D$32:$D$36)*('Бюджет на запуск'!N$32:N$36)*(('Бюджет на запуск'!$C$32:$C$36=Расчет!$D49)))/$E49,0)</f>
        <v>0</v>
      </c>
      <c r="O49" s="42">
        <f>IFERROR(SUMPRODUCT(('Бюджет на запуск'!$D$32:$D$36)*('Бюджет на запуск'!O$32:O$36)*(('Бюджет на запуск'!$C$32:$C$36=Расчет!$D49)))/$E49,0)</f>
        <v>0</v>
      </c>
      <c r="P49" s="42">
        <f>IFERROR(SUMPRODUCT(('Бюджет на запуск'!$D$32:$D$36)*('Бюджет на запуск'!P$32:P$36)*(('Бюджет на запуск'!$C$32:$C$36=Расчет!$D49)))/$E49,0)</f>
        <v>0</v>
      </c>
      <c r="Q49" s="42">
        <f>IFERROR(SUMPRODUCT(('Бюджет на запуск'!$D$32:$D$36)*('Бюджет на запуск'!Q$32:Q$36)*(('Бюджет на запуск'!$C$32:$C$36=Расчет!$D49)))/$E49,0)</f>
        <v>0</v>
      </c>
      <c r="R49" s="42">
        <f>IFERROR(SUMPRODUCT(('Бюджет на запуск'!$D$32:$D$36)*('Бюджет на запуск'!R$32:R$36)*(('Бюджет на запуск'!$C$32:$C$36=Расчет!$D49)))/$E49,0)</f>
        <v>0</v>
      </c>
      <c r="S49" s="42">
        <f>IFERROR(SUMPRODUCT(('Бюджет на запуск'!$D$32:$D$36)*('Бюджет на запуск'!S$32:S$36)*(('Бюджет на запуск'!$C$32:$C$36=Расчет!$D49)))/$E49,0)</f>
        <v>0</v>
      </c>
    </row>
    <row r="50" spans="1:19" s="2" customFormat="1" ht="16.5" x14ac:dyDescent="0.3">
      <c r="A50" s="223"/>
      <c r="B50" s="223"/>
      <c r="C50" s="200" t="str">
        <f t="shared" si="49"/>
        <v>Расходы на подготовку производства в USD</v>
      </c>
      <c r="D50" s="229" t="str">
        <f>'Бюджет на запуск'!$J$3</f>
        <v>USD</v>
      </c>
      <c r="E50" s="230">
        <f>SUMIF('Бюджет на запуск'!$C$32:$C$36,Расчет!$D50,'Бюджет на запуск'!$D$32:$D$36)</f>
        <v>0</v>
      </c>
      <c r="F50" s="231">
        <f>IFERROR(SUMPRODUCT(('Бюджет на запуск'!$D$32:$D$36)*('Бюджет на запуск'!$E$32:$E$36)*(('Бюджет на запуск'!$C$32:$C$36=Расчет!$D50)))/$E50,0)</f>
        <v>0</v>
      </c>
      <c r="G50" s="232">
        <f t="shared" si="46"/>
        <v>1</v>
      </c>
      <c r="H50" s="42">
        <f>IFERROR(SUMPRODUCT(('Бюджет на запуск'!$D$32:$D$36)*('Бюджет на запуск'!H$32:H$36)*(('Бюджет на запуск'!$C$32:$C$36=Расчет!$D50)))/$E50,0)</f>
        <v>0</v>
      </c>
      <c r="I50" s="42">
        <f>IFERROR(SUMPRODUCT(('Бюджет на запуск'!$D$32:$D$36)*('Бюджет на запуск'!I$32:I$36)*(('Бюджет на запуск'!$C$32:$C$36=Расчет!$D50)))/$E50,0)</f>
        <v>0</v>
      </c>
      <c r="J50" s="42">
        <f>IFERROR(SUMPRODUCT(('Бюджет на запуск'!$D$32:$D$36)*('Бюджет на запуск'!J$32:J$36)*(('Бюджет на запуск'!$C$32:$C$36=Расчет!$D50)))/$E50,0)</f>
        <v>0</v>
      </c>
      <c r="K50" s="42">
        <f>IFERROR(SUMPRODUCT(('Бюджет на запуск'!$D$32:$D$36)*('Бюджет на запуск'!K$32:K$36)*(('Бюджет на запуск'!$C$32:$C$36=Расчет!$D50)))/$E50,0)</f>
        <v>0</v>
      </c>
      <c r="L50" s="42">
        <f>IFERROR(SUMPRODUCT(('Бюджет на запуск'!$D$32:$D$36)*('Бюджет на запуск'!L$32:L$36)*(('Бюджет на запуск'!$C$32:$C$36=Расчет!$D50)))/$E50,0)</f>
        <v>0</v>
      </c>
      <c r="M50" s="42">
        <f>IFERROR(SUMPRODUCT(('Бюджет на запуск'!$D$32:$D$36)*('Бюджет на запуск'!M$32:M$36)*(('Бюджет на запуск'!$C$32:$C$36=Расчет!$D50)))/$E50,0)</f>
        <v>0</v>
      </c>
      <c r="N50" s="42">
        <f>IFERROR(SUMPRODUCT(('Бюджет на запуск'!$D$32:$D$36)*('Бюджет на запуск'!N$32:N$36)*(('Бюджет на запуск'!$C$32:$C$36=Расчет!$D50)))/$E50,0)</f>
        <v>0</v>
      </c>
      <c r="O50" s="42">
        <f>IFERROR(SUMPRODUCT(('Бюджет на запуск'!$D$32:$D$36)*('Бюджет на запуск'!O$32:O$36)*(('Бюджет на запуск'!$C$32:$C$36=Расчет!$D50)))/$E50,0)</f>
        <v>0</v>
      </c>
      <c r="P50" s="42">
        <f>IFERROR(SUMPRODUCT(('Бюджет на запуск'!$D$32:$D$36)*('Бюджет на запуск'!P$32:P$36)*(('Бюджет на запуск'!$C$32:$C$36=Расчет!$D50)))/$E50,0)</f>
        <v>0</v>
      </c>
      <c r="Q50" s="42">
        <f>IFERROR(SUMPRODUCT(('Бюджет на запуск'!$D$32:$D$36)*('Бюджет на запуск'!Q$32:Q$36)*(('Бюджет на запуск'!$C$32:$C$36=Расчет!$D50)))/$E50,0)</f>
        <v>0</v>
      </c>
      <c r="R50" s="42">
        <f>IFERROR(SUMPRODUCT(('Бюджет на запуск'!$D$32:$D$36)*('Бюджет на запуск'!R$32:R$36)*(('Бюджет на запуск'!$C$32:$C$36=Расчет!$D50)))/$E50,0)</f>
        <v>0</v>
      </c>
      <c r="S50" s="42">
        <f>IFERROR(SUMPRODUCT(('Бюджет на запуск'!$D$32:$D$36)*('Бюджет на запуск'!S$32:S$36)*(('Бюджет на запуск'!$C$32:$C$36=Расчет!$D50)))/$E50,0)</f>
        <v>0</v>
      </c>
    </row>
    <row r="51" spans="1:19" s="2" customFormat="1" ht="16.5" x14ac:dyDescent="0.3">
      <c r="A51" s="223"/>
      <c r="B51" s="223"/>
      <c r="C51" s="200" t="str">
        <f t="shared" si="49"/>
        <v>Расходы на подготовку производства в CNY</v>
      </c>
      <c r="D51" s="229" t="str">
        <f>'Бюджет на запуск'!$K$3</f>
        <v>CNY</v>
      </c>
      <c r="E51" s="230">
        <f>SUMIF('Бюджет на запуск'!$C$32:$C$36,Расчет!$D51,'Бюджет на запуск'!$D$32:$D$36)</f>
        <v>0</v>
      </c>
      <c r="F51" s="231">
        <f>IFERROR(SUMPRODUCT(('Бюджет на запуск'!$D$32:$D$36)*('Бюджет на запуск'!$E$32:$E$36)*(('Бюджет на запуск'!$C$32:$C$36=Расчет!$D51)))/$E51,0)</f>
        <v>0</v>
      </c>
      <c r="G51" s="232">
        <f t="shared" si="46"/>
        <v>1</v>
      </c>
      <c r="H51" s="42">
        <f>IFERROR(SUMPRODUCT(('Бюджет на запуск'!$D$32:$D$36)*('Бюджет на запуск'!H$32:H$36)*(('Бюджет на запуск'!$C$32:$C$36=Расчет!$D51)))/$E51,0)</f>
        <v>0</v>
      </c>
      <c r="I51" s="42">
        <f>IFERROR(SUMPRODUCT(('Бюджет на запуск'!$D$32:$D$36)*('Бюджет на запуск'!I$32:I$36)*(('Бюджет на запуск'!$C$32:$C$36=Расчет!$D51)))/$E51,0)</f>
        <v>0</v>
      </c>
      <c r="J51" s="42">
        <f>IFERROR(SUMPRODUCT(('Бюджет на запуск'!$D$32:$D$36)*('Бюджет на запуск'!J$32:J$36)*(('Бюджет на запуск'!$C$32:$C$36=Расчет!$D51)))/$E51,0)</f>
        <v>0</v>
      </c>
      <c r="K51" s="42">
        <f>IFERROR(SUMPRODUCT(('Бюджет на запуск'!$D$32:$D$36)*('Бюджет на запуск'!K$32:K$36)*(('Бюджет на запуск'!$C$32:$C$36=Расчет!$D51)))/$E51,0)</f>
        <v>0</v>
      </c>
      <c r="L51" s="42">
        <f>IFERROR(SUMPRODUCT(('Бюджет на запуск'!$D$32:$D$36)*('Бюджет на запуск'!L$32:L$36)*(('Бюджет на запуск'!$C$32:$C$36=Расчет!$D51)))/$E51,0)</f>
        <v>0</v>
      </c>
      <c r="M51" s="42">
        <f>IFERROR(SUMPRODUCT(('Бюджет на запуск'!$D$32:$D$36)*('Бюджет на запуск'!M$32:M$36)*(('Бюджет на запуск'!$C$32:$C$36=Расчет!$D51)))/$E51,0)</f>
        <v>0</v>
      </c>
      <c r="N51" s="42">
        <f>IFERROR(SUMPRODUCT(('Бюджет на запуск'!$D$32:$D$36)*('Бюджет на запуск'!N$32:N$36)*(('Бюджет на запуск'!$C$32:$C$36=Расчет!$D51)))/$E51,0)</f>
        <v>0</v>
      </c>
      <c r="O51" s="42">
        <f>IFERROR(SUMPRODUCT(('Бюджет на запуск'!$D$32:$D$36)*('Бюджет на запуск'!O$32:O$36)*(('Бюджет на запуск'!$C$32:$C$36=Расчет!$D51)))/$E51,0)</f>
        <v>0</v>
      </c>
      <c r="P51" s="42">
        <f>IFERROR(SUMPRODUCT(('Бюджет на запуск'!$D$32:$D$36)*('Бюджет на запуск'!P$32:P$36)*(('Бюджет на запуск'!$C$32:$C$36=Расчет!$D51)))/$E51,0)</f>
        <v>0</v>
      </c>
      <c r="Q51" s="42">
        <f>IFERROR(SUMPRODUCT(('Бюджет на запуск'!$D$32:$D$36)*('Бюджет на запуск'!Q$32:Q$36)*(('Бюджет на запуск'!$C$32:$C$36=Расчет!$D51)))/$E51,0)</f>
        <v>0</v>
      </c>
      <c r="R51" s="42">
        <f>IFERROR(SUMPRODUCT(('Бюджет на запуск'!$D$32:$D$36)*('Бюджет на запуск'!R$32:R$36)*(('Бюджет на запуск'!$C$32:$C$36=Расчет!$D51)))/$E51,0)</f>
        <v>0</v>
      </c>
      <c r="S51" s="42">
        <f>IFERROR(SUMPRODUCT(('Бюджет на запуск'!$D$32:$D$36)*('Бюджет на запуск'!S$32:S$36)*(('Бюджет на запуск'!$C$32:$C$36=Расчет!$D51)))/$E51,0)</f>
        <v>0</v>
      </c>
    </row>
    <row r="52" spans="1:19" s="2" customFormat="1" ht="16.5" x14ac:dyDescent="0.3">
      <c r="A52" s="233"/>
      <c r="B52" s="223"/>
      <c r="C52" s="200" t="str">
        <f>"Аренда основных средств на стадии подготовки проекта"&amp;" в "&amp;D52</f>
        <v>Аренда основных средств на стадии подготовки проекта в RUB</v>
      </c>
      <c r="D52" s="229" t="str">
        <f>'Бюджет на запуск'!$H$3</f>
        <v>RUB</v>
      </c>
      <c r="E52" s="230">
        <f>SUMIF('Бюджет на запуск'!$C$39:$C$43,Расчет!$D52,'Бюджет на запуск'!$D$39:$D$43)</f>
        <v>25000</v>
      </c>
      <c r="F52" s="231">
        <f>IFERROR(SUMPRODUCT(('Бюджет на запуск'!$D$39:$D$43)*('Бюджет на запуск'!$E$39:$E$43)*(('Бюджет на запуск'!$C$39:$C$43=Расчет!$D52)))/$E52,0)</f>
        <v>0.2</v>
      </c>
      <c r="G52" s="232">
        <f t="shared" si="46"/>
        <v>1</v>
      </c>
      <c r="H52" s="42">
        <f>IFERROR(SUMPRODUCT(('Бюджет на запуск'!$D$39:$D$43)*('Бюджет на запуск'!H$39:H$43)*(('Бюджет на запуск'!$C$39:$C$43=Расчет!$D52)))/$E52,0)</f>
        <v>0</v>
      </c>
      <c r="I52" s="42">
        <f>IFERROR(SUMPRODUCT(('Бюджет на запуск'!$D$39:$D$43)*('Бюджет на запуск'!I$39:I$43)*(('Бюджет на запуск'!$C$39:$C$43=Расчет!$D52)))/$E52,0)</f>
        <v>0</v>
      </c>
      <c r="J52" s="42">
        <f>IFERROR(SUMPRODUCT(('Бюджет на запуск'!$D$39:$D$43)*('Бюджет на запуск'!J$39:J$43)*(('Бюджет на запуск'!$C$39:$C$43=Расчет!$D52)))/$E52,0)</f>
        <v>0</v>
      </c>
      <c r="K52" s="42">
        <f>IFERROR(SUMPRODUCT(('Бюджет на запуск'!$D$39:$D$43)*('Бюджет на запуск'!K$39:K$43)*(('Бюджет на запуск'!$C$39:$C$43=Расчет!$D52)))/$E52,0)</f>
        <v>0</v>
      </c>
      <c r="L52" s="42">
        <f>IFERROR(SUMPRODUCT(('Бюджет на запуск'!$D$39:$D$43)*('Бюджет на запуск'!L$39:L$43)*(('Бюджет на запуск'!$C$39:$C$43=Расчет!$D52)))/$E52,0)</f>
        <v>0</v>
      </c>
      <c r="M52" s="42">
        <f>IFERROR(SUMPRODUCT(('Бюджет на запуск'!$D$39:$D$43)*('Бюджет на запуск'!M$39:M$43)*(('Бюджет на запуск'!$C$39:$C$43=Расчет!$D52)))/$E52,0)</f>
        <v>1</v>
      </c>
      <c r="N52" s="42">
        <f>IFERROR(SUMPRODUCT(('Бюджет на запуск'!$D$39:$D$43)*('Бюджет на запуск'!N$39:N$43)*(('Бюджет на запуск'!$C$39:$C$43=Расчет!$D52)))/$E52,0)</f>
        <v>0</v>
      </c>
      <c r="O52" s="42">
        <f>IFERROR(SUMPRODUCT(('Бюджет на запуск'!$D$39:$D$43)*('Бюджет на запуск'!O$39:O$43)*(('Бюджет на запуск'!$C$39:$C$43=Расчет!$D52)))/$E52,0)</f>
        <v>0</v>
      </c>
      <c r="P52" s="42">
        <f>IFERROR(SUMPRODUCT(('Бюджет на запуск'!$D$39:$D$43)*('Бюджет на запуск'!P$39:P$43)*(('Бюджет на запуск'!$C$39:$C$43=Расчет!$D52)))/$E52,0)</f>
        <v>0</v>
      </c>
      <c r="Q52" s="42">
        <f>IFERROR(SUMPRODUCT(('Бюджет на запуск'!$D$39:$D$43)*('Бюджет на запуск'!Q$39:Q$43)*(('Бюджет на запуск'!$C$39:$C$43=Расчет!$D52)))/$E52,0)</f>
        <v>0</v>
      </c>
      <c r="R52" s="42">
        <f>IFERROR(SUMPRODUCT(('Бюджет на запуск'!$D$39:$D$43)*('Бюджет на запуск'!R$39:R$43)*(('Бюджет на запуск'!$C$39:$C$43=Расчет!$D52)))/$E52,0)</f>
        <v>0</v>
      </c>
      <c r="S52" s="42">
        <f>IFERROR(SUMPRODUCT(('Бюджет на запуск'!$D$39:$D$43)*('Бюджет на запуск'!S$39:S$43)*(('Бюджет на запуск'!$C$39:$C$43=Расчет!$D52)))/$E52,0)</f>
        <v>0</v>
      </c>
    </row>
    <row r="53" spans="1:19" s="2" customFormat="1" ht="16.5" x14ac:dyDescent="0.3">
      <c r="A53" s="223"/>
      <c r="B53" s="223"/>
      <c r="C53" s="200" t="str">
        <f t="shared" ref="C53:C55" si="50">"Аренда основных средств на стадии подготовки проекта"&amp;" в "&amp;D53</f>
        <v>Аренда основных средств на стадии подготовки проекта в AED</v>
      </c>
      <c r="D53" s="229" t="str">
        <f>'Бюджет на запуск'!$I$3</f>
        <v>AED</v>
      </c>
      <c r="E53" s="230">
        <f>SUMIF('Бюджет на запуск'!$C$39:$C$43,Расчет!$D53,'Бюджет на запуск'!$D$39:$D$43)</f>
        <v>0</v>
      </c>
      <c r="F53" s="231">
        <f>IFERROR(SUMPRODUCT(('Бюджет на запуск'!$D$39:$D$43)*('Бюджет на запуск'!$E$39:$E$43)*(('Бюджет на запуск'!$C$39:$C$43=Расчет!$D53)))/$E53,0)</f>
        <v>0</v>
      </c>
      <c r="G53" s="232">
        <f t="shared" si="46"/>
        <v>1</v>
      </c>
      <c r="H53" s="42">
        <f>IFERROR(SUMPRODUCT(('Бюджет на запуск'!$D$39:$D$43)*('Бюджет на запуск'!H$39:H$43)*(('Бюджет на запуск'!$C$39:$C$43=Расчет!$D53)))/$E53,0)</f>
        <v>0</v>
      </c>
      <c r="I53" s="42">
        <f>IFERROR(SUMPRODUCT(('Бюджет на запуск'!$D$39:$D$43)*('Бюджет на запуск'!I$39:I$43)*(('Бюджет на запуск'!$C$39:$C$43=Расчет!$D53)))/$E53,0)</f>
        <v>0</v>
      </c>
      <c r="J53" s="42">
        <f>IFERROR(SUMPRODUCT(('Бюджет на запуск'!$D$39:$D$43)*('Бюджет на запуск'!J$39:J$43)*(('Бюджет на запуск'!$C$39:$C$43=Расчет!$D53)))/$E53,0)</f>
        <v>0</v>
      </c>
      <c r="K53" s="42">
        <f>IFERROR(SUMPRODUCT(('Бюджет на запуск'!$D$39:$D$43)*('Бюджет на запуск'!K$39:K$43)*(('Бюджет на запуск'!$C$39:$C$43=Расчет!$D53)))/$E53,0)</f>
        <v>0</v>
      </c>
      <c r="L53" s="42">
        <f>IFERROR(SUMPRODUCT(('Бюджет на запуск'!$D$39:$D$43)*('Бюджет на запуск'!L$39:L$43)*(('Бюджет на запуск'!$C$39:$C$43=Расчет!$D53)))/$E53,0)</f>
        <v>0</v>
      </c>
      <c r="M53" s="42">
        <f>IFERROR(SUMPRODUCT(('Бюджет на запуск'!$D$39:$D$43)*('Бюджет на запуск'!M$39:M$43)*(('Бюджет на запуск'!$C$39:$C$43=Расчет!$D53)))/$E53,0)</f>
        <v>0</v>
      </c>
      <c r="N53" s="42">
        <f>IFERROR(SUMPRODUCT(('Бюджет на запуск'!$D$39:$D$43)*('Бюджет на запуск'!N$39:N$43)*(('Бюджет на запуск'!$C$39:$C$43=Расчет!$D53)))/$E53,0)</f>
        <v>0</v>
      </c>
      <c r="O53" s="42">
        <f>IFERROR(SUMPRODUCT(('Бюджет на запуск'!$D$39:$D$43)*('Бюджет на запуск'!O$39:O$43)*(('Бюджет на запуск'!$C$39:$C$43=Расчет!$D53)))/$E53,0)</f>
        <v>0</v>
      </c>
      <c r="P53" s="42">
        <f>IFERROR(SUMPRODUCT(('Бюджет на запуск'!$D$39:$D$43)*('Бюджет на запуск'!P$39:P$43)*(('Бюджет на запуск'!$C$39:$C$43=Расчет!$D53)))/$E53,0)</f>
        <v>0</v>
      </c>
      <c r="Q53" s="42">
        <f>IFERROR(SUMPRODUCT(('Бюджет на запуск'!$D$39:$D$43)*('Бюджет на запуск'!Q$39:Q$43)*(('Бюджет на запуск'!$C$39:$C$43=Расчет!$D53)))/$E53,0)</f>
        <v>0</v>
      </c>
      <c r="R53" s="42">
        <f>IFERROR(SUMPRODUCT(('Бюджет на запуск'!$D$39:$D$43)*('Бюджет на запуск'!R$39:R$43)*(('Бюджет на запуск'!$C$39:$C$43=Расчет!$D53)))/$E53,0)</f>
        <v>0</v>
      </c>
      <c r="S53" s="42">
        <f>IFERROR(SUMPRODUCT(('Бюджет на запуск'!$D$39:$D$43)*('Бюджет на запуск'!S$39:S$43)*(('Бюджет на запуск'!$C$39:$C$43=Расчет!$D53)))/$E53,0)</f>
        <v>0</v>
      </c>
    </row>
    <row r="54" spans="1:19" s="2" customFormat="1" ht="16.5" x14ac:dyDescent="0.3">
      <c r="A54" s="223"/>
      <c r="B54" s="223"/>
      <c r="C54" s="200" t="str">
        <f t="shared" si="50"/>
        <v>Аренда основных средств на стадии подготовки проекта в USD</v>
      </c>
      <c r="D54" s="229" t="str">
        <f>'Бюджет на запуск'!$J$3</f>
        <v>USD</v>
      </c>
      <c r="E54" s="230">
        <f>SUMIF('Бюджет на запуск'!$C$39:$C$43,Расчет!$D54,'Бюджет на запуск'!$D$39:$D$43)</f>
        <v>0</v>
      </c>
      <c r="F54" s="231">
        <f>IFERROR(SUMPRODUCT(('Бюджет на запуск'!$D$39:$D$43)*('Бюджет на запуск'!$E$39:$E$43)*(('Бюджет на запуск'!$C$39:$C$43=Расчет!$D54)))/$E54,0)</f>
        <v>0</v>
      </c>
      <c r="G54" s="232">
        <f t="shared" si="46"/>
        <v>1</v>
      </c>
      <c r="H54" s="42">
        <f>IFERROR(SUMPRODUCT(('Бюджет на запуск'!$D$39:$D$43)*('Бюджет на запуск'!H$39:H$43)*(('Бюджет на запуск'!$C$39:$C$43=Расчет!$D54)))/$E54,0)</f>
        <v>0</v>
      </c>
      <c r="I54" s="42">
        <f>IFERROR(SUMPRODUCT(('Бюджет на запуск'!$D$39:$D$43)*('Бюджет на запуск'!I$39:I$43)*(('Бюджет на запуск'!$C$39:$C$43=Расчет!$D54)))/$E54,0)</f>
        <v>0</v>
      </c>
      <c r="J54" s="42">
        <f>IFERROR(SUMPRODUCT(('Бюджет на запуск'!$D$39:$D$43)*('Бюджет на запуск'!J$39:J$43)*(('Бюджет на запуск'!$C$39:$C$43=Расчет!$D54)))/$E54,0)</f>
        <v>0</v>
      </c>
      <c r="K54" s="42">
        <f>IFERROR(SUMPRODUCT(('Бюджет на запуск'!$D$39:$D$43)*('Бюджет на запуск'!K$39:K$43)*(('Бюджет на запуск'!$C$39:$C$43=Расчет!$D54)))/$E54,0)</f>
        <v>0</v>
      </c>
      <c r="L54" s="42">
        <f>IFERROR(SUMPRODUCT(('Бюджет на запуск'!$D$39:$D$43)*('Бюджет на запуск'!L$39:L$43)*(('Бюджет на запуск'!$C$39:$C$43=Расчет!$D54)))/$E54,0)</f>
        <v>0</v>
      </c>
      <c r="M54" s="42">
        <f>IFERROR(SUMPRODUCT(('Бюджет на запуск'!$D$39:$D$43)*('Бюджет на запуск'!M$39:M$43)*(('Бюджет на запуск'!$C$39:$C$43=Расчет!$D54)))/$E54,0)</f>
        <v>0</v>
      </c>
      <c r="N54" s="42">
        <f>IFERROR(SUMPRODUCT(('Бюджет на запуск'!$D$39:$D$43)*('Бюджет на запуск'!N$39:N$43)*(('Бюджет на запуск'!$C$39:$C$43=Расчет!$D54)))/$E54,0)</f>
        <v>0</v>
      </c>
      <c r="O54" s="42">
        <f>IFERROR(SUMPRODUCT(('Бюджет на запуск'!$D$39:$D$43)*('Бюджет на запуск'!O$39:O$43)*(('Бюджет на запуск'!$C$39:$C$43=Расчет!$D54)))/$E54,0)</f>
        <v>0</v>
      </c>
      <c r="P54" s="42">
        <f>IFERROR(SUMPRODUCT(('Бюджет на запуск'!$D$39:$D$43)*('Бюджет на запуск'!P$39:P$43)*(('Бюджет на запуск'!$C$39:$C$43=Расчет!$D54)))/$E54,0)</f>
        <v>0</v>
      </c>
      <c r="Q54" s="42">
        <f>IFERROR(SUMPRODUCT(('Бюджет на запуск'!$D$39:$D$43)*('Бюджет на запуск'!Q$39:Q$43)*(('Бюджет на запуск'!$C$39:$C$43=Расчет!$D54)))/$E54,0)</f>
        <v>0</v>
      </c>
      <c r="R54" s="42">
        <f>IFERROR(SUMPRODUCT(('Бюджет на запуск'!$D$39:$D$43)*('Бюджет на запуск'!R$39:R$43)*(('Бюджет на запуск'!$C$39:$C$43=Расчет!$D54)))/$E54,0)</f>
        <v>0</v>
      </c>
      <c r="S54" s="42">
        <f>IFERROR(SUMPRODUCT(('Бюджет на запуск'!$D$39:$D$43)*('Бюджет на запуск'!S$39:S$43)*(('Бюджет на запуск'!$C$39:$C$43=Расчет!$D54)))/$E54,0)</f>
        <v>0</v>
      </c>
    </row>
    <row r="55" spans="1:19" s="2" customFormat="1" ht="16.5" x14ac:dyDescent="0.3">
      <c r="A55" s="223"/>
      <c r="B55" s="223"/>
      <c r="C55" s="200" t="str">
        <f t="shared" si="50"/>
        <v>Аренда основных средств на стадии подготовки проекта в CNY</v>
      </c>
      <c r="D55" s="229" t="str">
        <f>'Бюджет на запуск'!$K$3</f>
        <v>CNY</v>
      </c>
      <c r="E55" s="230">
        <f>SUMIF('Бюджет на запуск'!$C$39:$C$43,Расчет!$D55,'Бюджет на запуск'!$D$39:$D$43)</f>
        <v>0</v>
      </c>
      <c r="F55" s="231">
        <f>IFERROR(SUMPRODUCT(('Бюджет на запуск'!$D$39:$D$43)*('Бюджет на запуск'!$E$39:$E$43)*(('Бюджет на запуск'!$C$39:$C$43=Расчет!$D55)))/$E55,0)</f>
        <v>0</v>
      </c>
      <c r="G55" s="232">
        <f t="shared" si="46"/>
        <v>1</v>
      </c>
      <c r="H55" s="42">
        <f>IFERROR(SUMPRODUCT(('Бюджет на запуск'!$D$39:$D$43)*('Бюджет на запуск'!H$39:H$43)*(('Бюджет на запуск'!$C$39:$C$43=Расчет!$D55)))/$E55,0)</f>
        <v>0</v>
      </c>
      <c r="I55" s="42">
        <f>IFERROR(SUMPRODUCT(('Бюджет на запуск'!$D$39:$D$43)*('Бюджет на запуск'!I$39:I$43)*(('Бюджет на запуск'!$C$39:$C$43=Расчет!$D55)))/$E55,0)</f>
        <v>0</v>
      </c>
      <c r="J55" s="42">
        <f>IFERROR(SUMPRODUCT(('Бюджет на запуск'!$D$39:$D$43)*('Бюджет на запуск'!J$39:J$43)*(('Бюджет на запуск'!$C$39:$C$43=Расчет!$D55)))/$E55,0)</f>
        <v>0</v>
      </c>
      <c r="K55" s="42">
        <f>IFERROR(SUMPRODUCT(('Бюджет на запуск'!$D$39:$D$43)*('Бюджет на запуск'!K$39:K$43)*(('Бюджет на запуск'!$C$39:$C$43=Расчет!$D55)))/$E55,0)</f>
        <v>0</v>
      </c>
      <c r="L55" s="42">
        <f>IFERROR(SUMPRODUCT(('Бюджет на запуск'!$D$39:$D$43)*('Бюджет на запуск'!L$39:L$43)*(('Бюджет на запуск'!$C$39:$C$43=Расчет!$D55)))/$E55,0)</f>
        <v>0</v>
      </c>
      <c r="M55" s="42">
        <f>IFERROR(SUMPRODUCT(('Бюджет на запуск'!$D$39:$D$43)*('Бюджет на запуск'!M$39:M$43)*(('Бюджет на запуск'!$C$39:$C$43=Расчет!$D55)))/$E55,0)</f>
        <v>0</v>
      </c>
      <c r="N55" s="42">
        <f>IFERROR(SUMPRODUCT(('Бюджет на запуск'!$D$39:$D$43)*('Бюджет на запуск'!N$39:N$43)*(('Бюджет на запуск'!$C$39:$C$43=Расчет!$D55)))/$E55,0)</f>
        <v>0</v>
      </c>
      <c r="O55" s="42">
        <f>IFERROR(SUMPRODUCT(('Бюджет на запуск'!$D$39:$D$43)*('Бюджет на запуск'!O$39:O$43)*(('Бюджет на запуск'!$C$39:$C$43=Расчет!$D55)))/$E55,0)</f>
        <v>0</v>
      </c>
      <c r="P55" s="42">
        <f>IFERROR(SUMPRODUCT(('Бюджет на запуск'!$D$39:$D$43)*('Бюджет на запуск'!P$39:P$43)*(('Бюджет на запуск'!$C$39:$C$43=Расчет!$D55)))/$E55,0)</f>
        <v>0</v>
      </c>
      <c r="Q55" s="42">
        <f>IFERROR(SUMPRODUCT(('Бюджет на запуск'!$D$39:$D$43)*('Бюджет на запуск'!Q$39:Q$43)*(('Бюджет на запуск'!$C$39:$C$43=Расчет!$D55)))/$E55,0)</f>
        <v>0</v>
      </c>
      <c r="R55" s="42">
        <f>IFERROR(SUMPRODUCT(('Бюджет на запуск'!$D$39:$D$43)*('Бюджет на запуск'!R$39:R$43)*(('Бюджет на запуск'!$C$39:$C$43=Расчет!$D55)))/$E55,0)</f>
        <v>0</v>
      </c>
      <c r="S55" s="42">
        <f>IFERROR(SUMPRODUCT(('Бюджет на запуск'!$D$39:$D$43)*('Бюджет на запуск'!S$39:S$43)*(('Бюджет на запуск'!$C$39:$C$43=Расчет!$D55)))/$E55,0)</f>
        <v>0</v>
      </c>
    </row>
    <row r="56" spans="1:19" s="2" customFormat="1" ht="16.5" x14ac:dyDescent="0.3">
      <c r="A56" s="223"/>
      <c r="B56" s="223"/>
      <c r="C56" s="200" t="str">
        <f>"Закупка основных средств: земельный участок"&amp;" в "&amp;D56</f>
        <v>Закупка основных средств: земельный участок в RUB</v>
      </c>
      <c r="D56" s="229" t="str">
        <f>'Бюджет на запуск'!$H$3</f>
        <v>RUB</v>
      </c>
      <c r="E56" s="230">
        <f>SUMIF('Бюджет на запуск'!$C$46:$C$50,Расчет!$D56,'Бюджет на запуск'!$D$46:$D$50)</f>
        <v>5209000</v>
      </c>
      <c r="F56" s="231">
        <f>IFERROR(SUMPRODUCT(('Бюджет на запуск'!$D$46:$D$50)*('Бюджет на запуск'!$E$46:$E$50)*(('Бюджет на запуск'!$C$46:$C$50=Расчет!$D56)))/$E56,0)</f>
        <v>0</v>
      </c>
      <c r="G56" s="232">
        <f t="shared" si="46"/>
        <v>1</v>
      </c>
      <c r="H56" s="42">
        <f>IFERROR(SUMPRODUCT(('Бюджет на запуск'!$D$46:$D$50)*('Бюджет на запуск'!H$46:H$50)*(('Бюджет на запуск'!$C$46:$C$50=Расчет!$D56)))/$E56,0)</f>
        <v>0</v>
      </c>
      <c r="I56" s="42">
        <f>IFERROR(SUMPRODUCT(('Бюджет на запуск'!$D$46:$D$50)*('Бюджет на запуск'!I$46:I$50)*(('Бюджет на запуск'!$C$46:$C$50=Расчет!$D56)))/$E56,0)</f>
        <v>0</v>
      </c>
      <c r="J56" s="42">
        <f>IFERROR(SUMPRODUCT(('Бюджет на запуск'!$D$46:$D$50)*('Бюджет на запуск'!J$46:J$50)*(('Бюджет на запуск'!$C$46:$C$50=Расчет!$D56)))/$E56,0)</f>
        <v>0</v>
      </c>
      <c r="K56" s="42">
        <f>IFERROR(SUMPRODUCT(('Бюджет на запуск'!$D$46:$D$50)*('Бюджет на запуск'!K$46:K$50)*(('Бюджет на запуск'!$C$46:$C$50=Расчет!$D56)))/$E56,0)</f>
        <v>0</v>
      </c>
      <c r="L56" s="42">
        <f>IFERROR(SUMPRODUCT(('Бюджет на запуск'!$D$46:$D$50)*('Бюджет на запуск'!L$46:L$50)*(('Бюджет на запуск'!$C$46:$C$50=Расчет!$D56)))/$E56,0)</f>
        <v>0</v>
      </c>
      <c r="M56" s="42">
        <f>IFERROR(SUMPRODUCT(('Бюджет на запуск'!$D$46:$D$50)*('Бюджет на запуск'!M$46:M$50)*(('Бюджет на запуск'!$C$46:$C$50=Расчет!$D56)))/$E56,0)</f>
        <v>1</v>
      </c>
      <c r="N56" s="42">
        <f>IFERROR(SUMPRODUCT(('Бюджет на запуск'!$D$46:$D$50)*('Бюджет на запуск'!N$46:N$50)*(('Бюджет на запуск'!$C$46:$C$50=Расчет!$D56)))/$E56,0)</f>
        <v>0</v>
      </c>
      <c r="O56" s="42">
        <f>IFERROR(SUMPRODUCT(('Бюджет на запуск'!$D$46:$D$50)*('Бюджет на запуск'!O$46:O$50)*(('Бюджет на запуск'!$C$46:$C$50=Расчет!$D56)))/$E56,0)</f>
        <v>0</v>
      </c>
      <c r="P56" s="42">
        <f>IFERROR(SUMPRODUCT(('Бюджет на запуск'!$D$46:$D$50)*('Бюджет на запуск'!P$46:P$50)*(('Бюджет на запуск'!$C$46:$C$50=Расчет!$D56)))/$E56,0)</f>
        <v>0</v>
      </c>
      <c r="Q56" s="42">
        <f>IFERROR(SUMPRODUCT(('Бюджет на запуск'!$D$46:$D$50)*('Бюджет на запуск'!Q$46:Q$50)*(('Бюджет на запуск'!$C$46:$C$50=Расчет!$D56)))/$E56,0)</f>
        <v>0</v>
      </c>
      <c r="R56" s="42">
        <f>IFERROR(SUMPRODUCT(('Бюджет на запуск'!$D$46:$D$50)*('Бюджет на запуск'!R$46:R$50)*(('Бюджет на запуск'!$C$46:$C$50=Расчет!$D56)))/$E56,0)</f>
        <v>0</v>
      </c>
      <c r="S56" s="42">
        <f>IFERROR(SUMPRODUCT(('Бюджет на запуск'!$D$46:$D$50)*('Бюджет на запуск'!S$46:S$50)*(('Бюджет на запуск'!$C$46:$C$50=Расчет!$D56)))/$E56,0)</f>
        <v>0</v>
      </c>
    </row>
    <row r="57" spans="1:19" s="2" customFormat="1" ht="16.5" x14ac:dyDescent="0.3">
      <c r="A57" s="223"/>
      <c r="B57" s="223"/>
      <c r="C57" s="200" t="str">
        <f t="shared" ref="C57:C59" si="51">"Закупка основных средств: земельный участок"&amp;" в "&amp;D57</f>
        <v>Закупка основных средств: земельный участок в AED</v>
      </c>
      <c r="D57" s="229" t="str">
        <f>'Бюджет на запуск'!$I$3</f>
        <v>AED</v>
      </c>
      <c r="E57" s="230">
        <f>SUMIF('Бюджет на запуск'!$C$46:$C$50,Расчет!$D57,'Бюджет на запуск'!$D$46:$D$50)</f>
        <v>0</v>
      </c>
      <c r="F57" s="231">
        <f>IFERROR(SUMPRODUCT(('Бюджет на запуск'!$D$46:$D$50)*('Бюджет на запуск'!$E$46:$E$50)*(('Бюджет на запуск'!$C$46:$C$50=Расчет!$D57)))/$E57,0)</f>
        <v>0</v>
      </c>
      <c r="G57" s="232">
        <f t="shared" si="46"/>
        <v>1</v>
      </c>
      <c r="H57" s="42">
        <f>IFERROR(SUMPRODUCT(('Бюджет на запуск'!$D$46:$D$50)*('Бюджет на запуск'!H$46:H$50)*(('Бюджет на запуск'!$C$46:$C$50=Расчет!$D57)))/$E57,0)</f>
        <v>0</v>
      </c>
      <c r="I57" s="42">
        <f>IFERROR(SUMPRODUCT(('Бюджет на запуск'!$D$46:$D$50)*('Бюджет на запуск'!I$46:I$50)*(('Бюджет на запуск'!$C$46:$C$50=Расчет!$D57)))/$E57,0)</f>
        <v>0</v>
      </c>
      <c r="J57" s="42">
        <f>IFERROR(SUMPRODUCT(('Бюджет на запуск'!$D$46:$D$50)*('Бюджет на запуск'!J$46:J$50)*(('Бюджет на запуск'!$C$46:$C$50=Расчет!$D57)))/$E57,0)</f>
        <v>0</v>
      </c>
      <c r="K57" s="42">
        <f>IFERROR(SUMPRODUCT(('Бюджет на запуск'!$D$46:$D$50)*('Бюджет на запуск'!K$46:K$50)*(('Бюджет на запуск'!$C$46:$C$50=Расчет!$D57)))/$E57,0)</f>
        <v>0</v>
      </c>
      <c r="L57" s="42">
        <f>IFERROR(SUMPRODUCT(('Бюджет на запуск'!$D$46:$D$50)*('Бюджет на запуск'!L$46:L$50)*(('Бюджет на запуск'!$C$46:$C$50=Расчет!$D57)))/$E57,0)</f>
        <v>0</v>
      </c>
      <c r="M57" s="42">
        <f>IFERROR(SUMPRODUCT(('Бюджет на запуск'!$D$46:$D$50)*('Бюджет на запуск'!M$46:M$50)*(('Бюджет на запуск'!$C$46:$C$50=Расчет!$D57)))/$E57,0)</f>
        <v>0</v>
      </c>
      <c r="N57" s="42">
        <f>IFERROR(SUMPRODUCT(('Бюджет на запуск'!$D$46:$D$50)*('Бюджет на запуск'!N$46:N$50)*(('Бюджет на запуск'!$C$46:$C$50=Расчет!$D57)))/$E57,0)</f>
        <v>0</v>
      </c>
      <c r="O57" s="42">
        <f>IFERROR(SUMPRODUCT(('Бюджет на запуск'!$D$46:$D$50)*('Бюджет на запуск'!O$46:O$50)*(('Бюджет на запуск'!$C$46:$C$50=Расчет!$D57)))/$E57,0)</f>
        <v>0</v>
      </c>
      <c r="P57" s="42">
        <f>IFERROR(SUMPRODUCT(('Бюджет на запуск'!$D$46:$D$50)*('Бюджет на запуск'!P$46:P$50)*(('Бюджет на запуск'!$C$46:$C$50=Расчет!$D57)))/$E57,0)</f>
        <v>0</v>
      </c>
      <c r="Q57" s="42">
        <f>IFERROR(SUMPRODUCT(('Бюджет на запуск'!$D$46:$D$50)*('Бюджет на запуск'!Q$46:Q$50)*(('Бюджет на запуск'!$C$46:$C$50=Расчет!$D57)))/$E57,0)</f>
        <v>0</v>
      </c>
      <c r="R57" s="42">
        <f>IFERROR(SUMPRODUCT(('Бюджет на запуск'!$D$46:$D$50)*('Бюджет на запуск'!R$46:R$50)*(('Бюджет на запуск'!$C$46:$C$50=Расчет!$D57)))/$E57,0)</f>
        <v>0</v>
      </c>
      <c r="S57" s="42">
        <f>IFERROR(SUMPRODUCT(('Бюджет на запуск'!$D$46:$D$50)*('Бюджет на запуск'!S$46:S$50)*(('Бюджет на запуск'!$C$46:$C$50=Расчет!$D57)))/$E57,0)</f>
        <v>0</v>
      </c>
    </row>
    <row r="58" spans="1:19" s="2" customFormat="1" ht="16.5" x14ac:dyDescent="0.3">
      <c r="A58" s="223"/>
      <c r="B58" s="223"/>
      <c r="C58" s="200" t="str">
        <f t="shared" si="51"/>
        <v>Закупка основных средств: земельный участок в USD</v>
      </c>
      <c r="D58" s="229" t="str">
        <f>'Бюджет на запуск'!$J$3</f>
        <v>USD</v>
      </c>
      <c r="E58" s="230">
        <f>SUMIF('Бюджет на запуск'!$C$46:$C$50,Расчет!$D58,'Бюджет на запуск'!$D$46:$D$50)</f>
        <v>0</v>
      </c>
      <c r="F58" s="231">
        <f>IFERROR(SUMPRODUCT(('Бюджет на запуск'!$D$46:$D$50)*('Бюджет на запуск'!$E$46:$E$50)*(('Бюджет на запуск'!$C$46:$C$50=Расчет!$D58)))/$E58,0)</f>
        <v>0</v>
      </c>
      <c r="G58" s="232">
        <f t="shared" si="46"/>
        <v>1</v>
      </c>
      <c r="H58" s="42">
        <f>IFERROR(SUMPRODUCT(('Бюджет на запуск'!$D$46:$D$50)*('Бюджет на запуск'!H$46:H$50)*(('Бюджет на запуск'!$C$46:$C$50=Расчет!$D58)))/$E58,0)</f>
        <v>0</v>
      </c>
      <c r="I58" s="42">
        <f>IFERROR(SUMPRODUCT(('Бюджет на запуск'!$D$46:$D$50)*('Бюджет на запуск'!I$46:I$50)*(('Бюджет на запуск'!$C$46:$C$50=Расчет!$D58)))/$E58,0)</f>
        <v>0</v>
      </c>
      <c r="J58" s="42">
        <f>IFERROR(SUMPRODUCT(('Бюджет на запуск'!$D$46:$D$50)*('Бюджет на запуск'!J$46:J$50)*(('Бюджет на запуск'!$C$46:$C$50=Расчет!$D58)))/$E58,0)</f>
        <v>0</v>
      </c>
      <c r="K58" s="42">
        <f>IFERROR(SUMPRODUCT(('Бюджет на запуск'!$D$46:$D$50)*('Бюджет на запуск'!K$46:K$50)*(('Бюджет на запуск'!$C$46:$C$50=Расчет!$D58)))/$E58,0)</f>
        <v>0</v>
      </c>
      <c r="L58" s="42">
        <f>IFERROR(SUMPRODUCT(('Бюджет на запуск'!$D$46:$D$50)*('Бюджет на запуск'!L$46:L$50)*(('Бюджет на запуск'!$C$46:$C$50=Расчет!$D58)))/$E58,0)</f>
        <v>0</v>
      </c>
      <c r="M58" s="42">
        <f>IFERROR(SUMPRODUCT(('Бюджет на запуск'!$D$46:$D$50)*('Бюджет на запуск'!M$46:M$50)*(('Бюджет на запуск'!$C$46:$C$50=Расчет!$D58)))/$E58,0)</f>
        <v>0</v>
      </c>
      <c r="N58" s="42">
        <f>IFERROR(SUMPRODUCT(('Бюджет на запуск'!$D$46:$D$50)*('Бюджет на запуск'!N$46:N$50)*(('Бюджет на запуск'!$C$46:$C$50=Расчет!$D58)))/$E58,0)</f>
        <v>0</v>
      </c>
      <c r="O58" s="42">
        <f>IFERROR(SUMPRODUCT(('Бюджет на запуск'!$D$46:$D$50)*('Бюджет на запуск'!O$46:O$50)*(('Бюджет на запуск'!$C$46:$C$50=Расчет!$D58)))/$E58,0)</f>
        <v>0</v>
      </c>
      <c r="P58" s="42">
        <f>IFERROR(SUMPRODUCT(('Бюджет на запуск'!$D$46:$D$50)*('Бюджет на запуск'!P$46:P$50)*(('Бюджет на запуск'!$C$46:$C$50=Расчет!$D58)))/$E58,0)</f>
        <v>0</v>
      </c>
      <c r="Q58" s="42">
        <f>IFERROR(SUMPRODUCT(('Бюджет на запуск'!$D$46:$D$50)*('Бюджет на запуск'!Q$46:Q$50)*(('Бюджет на запуск'!$C$46:$C$50=Расчет!$D58)))/$E58,0)</f>
        <v>0</v>
      </c>
      <c r="R58" s="42">
        <f>IFERROR(SUMPRODUCT(('Бюджет на запуск'!$D$46:$D$50)*('Бюджет на запуск'!R$46:R$50)*(('Бюджет на запуск'!$C$46:$C$50=Расчет!$D58)))/$E58,0)</f>
        <v>0</v>
      </c>
      <c r="S58" s="42">
        <f>IFERROR(SUMPRODUCT(('Бюджет на запуск'!$D$46:$D$50)*('Бюджет на запуск'!S$46:S$50)*(('Бюджет на запуск'!$C$46:$C$50=Расчет!$D58)))/$E58,0)</f>
        <v>0</v>
      </c>
    </row>
    <row r="59" spans="1:19" s="2" customFormat="1" ht="16.5" x14ac:dyDescent="0.3">
      <c r="A59" s="223"/>
      <c r="B59" s="223"/>
      <c r="C59" s="200" t="str">
        <f t="shared" si="51"/>
        <v>Закупка основных средств: земельный участок в CNY</v>
      </c>
      <c r="D59" s="229" t="str">
        <f>'Бюджет на запуск'!$K$3</f>
        <v>CNY</v>
      </c>
      <c r="E59" s="230">
        <f>SUMIF('Бюджет на запуск'!$C$46:$C$50,Расчет!$D59,'Бюджет на запуск'!$D$46:$D$50)</f>
        <v>0</v>
      </c>
      <c r="F59" s="231">
        <f>IFERROR(SUMPRODUCT(('Бюджет на запуск'!$D$46:$D$50)*('Бюджет на запуск'!$E$46:$E$50)*(('Бюджет на запуск'!$C$46:$C$50=Расчет!$D59)))/$E59,0)</f>
        <v>0</v>
      </c>
      <c r="G59" s="232">
        <f t="shared" si="46"/>
        <v>1</v>
      </c>
      <c r="H59" s="42">
        <f>IFERROR(SUMPRODUCT(('Бюджет на запуск'!$D$46:$D$50)*('Бюджет на запуск'!H$46:H$50)*(('Бюджет на запуск'!$C$46:$C$50=Расчет!$D59)))/$E59,0)</f>
        <v>0</v>
      </c>
      <c r="I59" s="42">
        <f>IFERROR(SUMPRODUCT(('Бюджет на запуск'!$D$46:$D$50)*('Бюджет на запуск'!I$46:I$50)*(('Бюджет на запуск'!$C$46:$C$50=Расчет!$D59)))/$E59,0)</f>
        <v>0</v>
      </c>
      <c r="J59" s="42">
        <f>IFERROR(SUMPRODUCT(('Бюджет на запуск'!$D$46:$D$50)*('Бюджет на запуск'!J$46:J$50)*(('Бюджет на запуск'!$C$46:$C$50=Расчет!$D59)))/$E59,0)</f>
        <v>0</v>
      </c>
      <c r="K59" s="42">
        <f>IFERROR(SUMPRODUCT(('Бюджет на запуск'!$D$46:$D$50)*('Бюджет на запуск'!K$46:K$50)*(('Бюджет на запуск'!$C$46:$C$50=Расчет!$D59)))/$E59,0)</f>
        <v>0</v>
      </c>
      <c r="L59" s="42">
        <f>IFERROR(SUMPRODUCT(('Бюджет на запуск'!$D$46:$D$50)*('Бюджет на запуск'!L$46:L$50)*(('Бюджет на запуск'!$C$46:$C$50=Расчет!$D59)))/$E59,0)</f>
        <v>0</v>
      </c>
      <c r="M59" s="42">
        <f>IFERROR(SUMPRODUCT(('Бюджет на запуск'!$D$46:$D$50)*('Бюджет на запуск'!M$46:M$50)*(('Бюджет на запуск'!$C$46:$C$50=Расчет!$D59)))/$E59,0)</f>
        <v>0</v>
      </c>
      <c r="N59" s="42">
        <f>IFERROR(SUMPRODUCT(('Бюджет на запуск'!$D$46:$D$50)*('Бюджет на запуск'!N$46:N$50)*(('Бюджет на запуск'!$C$46:$C$50=Расчет!$D59)))/$E59,0)</f>
        <v>0</v>
      </c>
      <c r="O59" s="42">
        <f>IFERROR(SUMPRODUCT(('Бюджет на запуск'!$D$46:$D$50)*('Бюджет на запуск'!O$46:O$50)*(('Бюджет на запуск'!$C$46:$C$50=Расчет!$D59)))/$E59,0)</f>
        <v>0</v>
      </c>
      <c r="P59" s="42">
        <f>IFERROR(SUMPRODUCT(('Бюджет на запуск'!$D$46:$D$50)*('Бюджет на запуск'!P$46:P$50)*(('Бюджет на запуск'!$C$46:$C$50=Расчет!$D59)))/$E59,0)</f>
        <v>0</v>
      </c>
      <c r="Q59" s="42">
        <f>IFERROR(SUMPRODUCT(('Бюджет на запуск'!$D$46:$D$50)*('Бюджет на запуск'!Q$46:Q$50)*(('Бюджет на запуск'!$C$46:$C$50=Расчет!$D59)))/$E59,0)</f>
        <v>0</v>
      </c>
      <c r="R59" s="42">
        <f>IFERROR(SUMPRODUCT(('Бюджет на запуск'!$D$46:$D$50)*('Бюджет на запуск'!R$46:R$50)*(('Бюджет на запуск'!$C$46:$C$50=Расчет!$D59)))/$E59,0)</f>
        <v>0</v>
      </c>
      <c r="S59" s="42">
        <f>IFERROR(SUMPRODUCT(('Бюджет на запуск'!$D$46:$D$50)*('Бюджет на запуск'!S$46:S$50)*(('Бюджет на запуск'!$C$46:$C$50=Расчет!$D59)))/$E59,0)</f>
        <v>0</v>
      </c>
    </row>
    <row r="60" spans="1:19" s="2" customFormat="1" ht="16.5" x14ac:dyDescent="0.3">
      <c r="A60" s="223"/>
      <c r="B60" s="223"/>
      <c r="C60" s="200" t="str">
        <f>"Закупка основных средств: помещение"&amp;" в "&amp;D60</f>
        <v>Закупка основных средств: помещение в RUB</v>
      </c>
      <c r="D60" s="229" t="str">
        <f>'Бюджет на запуск'!$H$3</f>
        <v>RUB</v>
      </c>
      <c r="E60" s="230">
        <f>SUMIF('Бюджет на запуск'!$C$53:$C$57,Расчет!$D60,'Бюджет на запуск'!$D$53:$D$57)</f>
        <v>1687500</v>
      </c>
      <c r="F60" s="231">
        <f>IFERROR(SUMPRODUCT(('Бюджет на запуск'!$D$53:$D$57)*('Бюджет на запуск'!$E$53:$E$57)*(('Бюджет на запуск'!$C$53:$C$57=Расчет!$D60)))/$E60,0)</f>
        <v>0.2</v>
      </c>
      <c r="G60" s="232">
        <f t="shared" si="46"/>
        <v>1</v>
      </c>
      <c r="H60" s="42">
        <f>IFERROR(SUMPRODUCT(('Бюджет на запуск'!$D$53:$D$57)*('Бюджет на запуск'!H$53:H$57)*(('Бюджет на запуск'!$C$53:$C$57=Расчет!$D60)))/$E60,0)</f>
        <v>0</v>
      </c>
      <c r="I60" s="42">
        <f>IFERROR(SUMPRODUCT(('Бюджет на запуск'!$D$53:$D$57)*('Бюджет на запуск'!I$53:I$57)*(('Бюджет на запуск'!$C$53:$C$57=Расчет!$D60)))/$E60,0)</f>
        <v>0</v>
      </c>
      <c r="J60" s="42">
        <f>IFERROR(SUMPRODUCT(('Бюджет на запуск'!$D$53:$D$57)*('Бюджет на запуск'!J$53:J$57)*(('Бюджет на запуск'!$C$53:$C$57=Расчет!$D60)))/$E60,0)</f>
        <v>0</v>
      </c>
      <c r="K60" s="42">
        <f>IFERROR(SUMPRODUCT(('Бюджет на запуск'!$D$53:$D$57)*('Бюджет на запуск'!K$53:K$57)*(('Бюджет на запуск'!$C$53:$C$57=Расчет!$D60)))/$E60,0)</f>
        <v>0</v>
      </c>
      <c r="L60" s="42">
        <f>IFERROR(SUMPRODUCT(('Бюджет на запуск'!$D$53:$D$57)*('Бюджет на запуск'!L$53:L$57)*(('Бюджет на запуск'!$C$53:$C$57=Расчет!$D60)))/$E60,0)</f>
        <v>0</v>
      </c>
      <c r="M60" s="42">
        <f>IFERROR(SUMPRODUCT(('Бюджет на запуск'!$D$53:$D$57)*('Бюджет на запуск'!M$53:M$57)*(('Бюджет на запуск'!$C$53:$C$57=Расчет!$D60)))/$E60,0)</f>
        <v>1</v>
      </c>
      <c r="N60" s="42">
        <f>IFERROR(SUMPRODUCT(('Бюджет на запуск'!$D$53:$D$57)*('Бюджет на запуск'!N$53:N$57)*(('Бюджет на запуск'!$C$53:$C$57=Расчет!$D60)))/$E60,0)</f>
        <v>0</v>
      </c>
      <c r="O60" s="42">
        <f>IFERROR(SUMPRODUCT(('Бюджет на запуск'!$D$53:$D$57)*('Бюджет на запуск'!O$53:O$57)*(('Бюджет на запуск'!$C$53:$C$57=Расчет!$D60)))/$E60,0)</f>
        <v>0</v>
      </c>
      <c r="P60" s="42">
        <f>IFERROR(SUMPRODUCT(('Бюджет на запуск'!$D$53:$D$57)*('Бюджет на запуск'!P$53:P$57)*(('Бюджет на запуск'!$C$53:$C$57=Расчет!$D60)))/$E60,0)</f>
        <v>0</v>
      </c>
      <c r="Q60" s="42">
        <f>IFERROR(SUMPRODUCT(('Бюджет на запуск'!$D$53:$D$57)*('Бюджет на запуск'!Q$53:Q$57)*(('Бюджет на запуск'!$C$53:$C$57=Расчет!$D60)))/$E60,0)</f>
        <v>0</v>
      </c>
      <c r="R60" s="42">
        <f>IFERROR(SUMPRODUCT(('Бюджет на запуск'!$D$53:$D$57)*('Бюджет на запуск'!R$53:R$57)*(('Бюджет на запуск'!$C$53:$C$57=Расчет!$D60)))/$E60,0)</f>
        <v>0</v>
      </c>
      <c r="S60" s="42">
        <f>IFERROR(SUMPRODUCT(('Бюджет на запуск'!$D$53:$D$57)*('Бюджет на запуск'!S$53:S$57)*(('Бюджет на запуск'!$C$53:$C$57=Расчет!$D60)))/$E60,0)</f>
        <v>0</v>
      </c>
    </row>
    <row r="61" spans="1:19" s="2" customFormat="1" ht="16.5" x14ac:dyDescent="0.3">
      <c r="A61" s="223"/>
      <c r="B61" s="223"/>
      <c r="C61" s="200" t="str">
        <f>"Закупка основных средств: помещение"&amp;" в "&amp;D61</f>
        <v>Закупка основных средств: помещение в AED</v>
      </c>
      <c r="D61" s="229" t="str">
        <f>'Бюджет на запуск'!$I$3</f>
        <v>AED</v>
      </c>
      <c r="E61" s="230">
        <f>SUMIF('Бюджет на запуск'!$C$53:$C$57,Расчет!$D61,'Бюджет на запуск'!$D$53:$D$57)</f>
        <v>0</v>
      </c>
      <c r="F61" s="231">
        <f>IFERROR(SUMPRODUCT(('Бюджет на запуск'!$D$53:$D$57)*('Бюджет на запуск'!$E$53:$E$57)*(('Бюджет на запуск'!$C$53:$C$57=Расчет!$D61)))/$E61,0)</f>
        <v>0</v>
      </c>
      <c r="G61" s="232">
        <f t="shared" si="46"/>
        <v>1</v>
      </c>
      <c r="H61" s="42">
        <f>IFERROR(SUMPRODUCT(('Бюджет на запуск'!$D$53:$D$57)*('Бюджет на запуск'!H$53:H$57)*(('Бюджет на запуск'!$C$53:$C$57=Расчет!$D61)))/$E61,0)</f>
        <v>0</v>
      </c>
      <c r="I61" s="42">
        <f>IFERROR(SUMPRODUCT(('Бюджет на запуск'!$D$53:$D$57)*('Бюджет на запуск'!I$53:I$57)*(('Бюджет на запуск'!$C$53:$C$57=Расчет!$D61)))/$E61,0)</f>
        <v>0</v>
      </c>
      <c r="J61" s="42">
        <f>IFERROR(SUMPRODUCT(('Бюджет на запуск'!$D$53:$D$57)*('Бюджет на запуск'!J$53:J$57)*(('Бюджет на запуск'!$C$53:$C$57=Расчет!$D61)))/$E61,0)</f>
        <v>0</v>
      </c>
      <c r="K61" s="42">
        <f>IFERROR(SUMPRODUCT(('Бюджет на запуск'!$D$53:$D$57)*('Бюджет на запуск'!K$53:K$57)*(('Бюджет на запуск'!$C$53:$C$57=Расчет!$D61)))/$E61,0)</f>
        <v>0</v>
      </c>
      <c r="L61" s="42">
        <f>IFERROR(SUMPRODUCT(('Бюджет на запуск'!$D$53:$D$57)*('Бюджет на запуск'!L$53:L$57)*(('Бюджет на запуск'!$C$53:$C$57=Расчет!$D61)))/$E61,0)</f>
        <v>0</v>
      </c>
      <c r="M61" s="42">
        <f>IFERROR(SUMPRODUCT(('Бюджет на запуск'!$D$53:$D$57)*('Бюджет на запуск'!M$53:M$57)*(('Бюджет на запуск'!$C$53:$C$57=Расчет!$D61)))/$E61,0)</f>
        <v>0</v>
      </c>
      <c r="N61" s="42">
        <f>IFERROR(SUMPRODUCT(('Бюджет на запуск'!$D$53:$D$57)*('Бюджет на запуск'!N$53:N$57)*(('Бюджет на запуск'!$C$53:$C$57=Расчет!$D61)))/$E61,0)</f>
        <v>0</v>
      </c>
      <c r="O61" s="42">
        <f>IFERROR(SUMPRODUCT(('Бюджет на запуск'!$D$53:$D$57)*('Бюджет на запуск'!O$53:O$57)*(('Бюджет на запуск'!$C$53:$C$57=Расчет!$D61)))/$E61,0)</f>
        <v>0</v>
      </c>
      <c r="P61" s="42">
        <f>IFERROR(SUMPRODUCT(('Бюджет на запуск'!$D$53:$D$57)*('Бюджет на запуск'!P$53:P$57)*(('Бюджет на запуск'!$C$53:$C$57=Расчет!$D61)))/$E61,0)</f>
        <v>0</v>
      </c>
      <c r="Q61" s="42">
        <f>IFERROR(SUMPRODUCT(('Бюджет на запуск'!$D$53:$D$57)*('Бюджет на запуск'!Q$53:Q$57)*(('Бюджет на запуск'!$C$53:$C$57=Расчет!$D61)))/$E61,0)</f>
        <v>0</v>
      </c>
      <c r="R61" s="42">
        <f>IFERROR(SUMPRODUCT(('Бюджет на запуск'!$D$53:$D$57)*('Бюджет на запуск'!R$53:R$57)*(('Бюджет на запуск'!$C$53:$C$57=Расчет!$D61)))/$E61,0)</f>
        <v>0</v>
      </c>
      <c r="S61" s="42">
        <f>IFERROR(SUMPRODUCT(('Бюджет на запуск'!$D$53:$D$57)*('Бюджет на запуск'!S$53:S$57)*(('Бюджет на запуск'!$C$53:$C$57=Расчет!$D61)))/$E61,0)</f>
        <v>0</v>
      </c>
    </row>
    <row r="62" spans="1:19" s="2" customFormat="1" ht="16.5" x14ac:dyDescent="0.3">
      <c r="A62" s="223"/>
      <c r="B62" s="223"/>
      <c r="C62" s="200" t="str">
        <f t="shared" ref="C62:C63" si="52">"Закупка основных средств: помещение"&amp;" в "&amp;D62</f>
        <v>Закупка основных средств: помещение в USD</v>
      </c>
      <c r="D62" s="229" t="str">
        <f>'Бюджет на запуск'!$J$3</f>
        <v>USD</v>
      </c>
      <c r="E62" s="230">
        <f>SUMIF('Бюджет на запуск'!$C$53:$C$57,Расчет!$D62,'Бюджет на запуск'!$D$53:$D$57)</f>
        <v>0</v>
      </c>
      <c r="F62" s="231">
        <f>IFERROR(SUMPRODUCT(('Бюджет на запуск'!$D$53:$D$57)*('Бюджет на запуск'!$E$53:$E$57)*(('Бюджет на запуск'!$C$53:$C$57=Расчет!$D62)))/$E62,0)</f>
        <v>0</v>
      </c>
      <c r="G62" s="232">
        <f t="shared" si="46"/>
        <v>1</v>
      </c>
      <c r="H62" s="42">
        <f>IFERROR(SUMPRODUCT(('Бюджет на запуск'!$D$53:$D$57)*('Бюджет на запуск'!H$53:H$57)*(('Бюджет на запуск'!$C$53:$C$57=Расчет!$D62)))/$E62,0)</f>
        <v>0</v>
      </c>
      <c r="I62" s="42">
        <f>IFERROR(SUMPRODUCT(('Бюджет на запуск'!$D$53:$D$57)*('Бюджет на запуск'!I$53:I$57)*(('Бюджет на запуск'!$C$53:$C$57=Расчет!$D62)))/$E62,0)</f>
        <v>0</v>
      </c>
      <c r="J62" s="42">
        <f>IFERROR(SUMPRODUCT(('Бюджет на запуск'!$D$53:$D$57)*('Бюджет на запуск'!J$53:J$57)*(('Бюджет на запуск'!$C$53:$C$57=Расчет!$D62)))/$E62,0)</f>
        <v>0</v>
      </c>
      <c r="K62" s="42">
        <f>IFERROR(SUMPRODUCT(('Бюджет на запуск'!$D$53:$D$57)*('Бюджет на запуск'!K$53:K$57)*(('Бюджет на запуск'!$C$53:$C$57=Расчет!$D62)))/$E62,0)</f>
        <v>0</v>
      </c>
      <c r="L62" s="42">
        <f>IFERROR(SUMPRODUCT(('Бюджет на запуск'!$D$53:$D$57)*('Бюджет на запуск'!L$53:L$57)*(('Бюджет на запуск'!$C$53:$C$57=Расчет!$D62)))/$E62,0)</f>
        <v>0</v>
      </c>
      <c r="M62" s="42">
        <f>IFERROR(SUMPRODUCT(('Бюджет на запуск'!$D$53:$D$57)*('Бюджет на запуск'!M$53:M$57)*(('Бюджет на запуск'!$C$53:$C$57=Расчет!$D62)))/$E62,0)</f>
        <v>0</v>
      </c>
      <c r="N62" s="42">
        <f>IFERROR(SUMPRODUCT(('Бюджет на запуск'!$D$53:$D$57)*('Бюджет на запуск'!N$53:N$57)*(('Бюджет на запуск'!$C$53:$C$57=Расчет!$D62)))/$E62,0)</f>
        <v>0</v>
      </c>
      <c r="O62" s="42">
        <f>IFERROR(SUMPRODUCT(('Бюджет на запуск'!$D$53:$D$57)*('Бюджет на запуск'!O$53:O$57)*(('Бюджет на запуск'!$C$53:$C$57=Расчет!$D62)))/$E62,0)</f>
        <v>0</v>
      </c>
      <c r="P62" s="42">
        <f>IFERROR(SUMPRODUCT(('Бюджет на запуск'!$D$53:$D$57)*('Бюджет на запуск'!P$53:P$57)*(('Бюджет на запуск'!$C$53:$C$57=Расчет!$D62)))/$E62,0)</f>
        <v>0</v>
      </c>
      <c r="Q62" s="42">
        <f>IFERROR(SUMPRODUCT(('Бюджет на запуск'!$D$53:$D$57)*('Бюджет на запуск'!Q$53:Q$57)*(('Бюджет на запуск'!$C$53:$C$57=Расчет!$D62)))/$E62,0)</f>
        <v>0</v>
      </c>
      <c r="R62" s="42">
        <f>IFERROR(SUMPRODUCT(('Бюджет на запуск'!$D$53:$D$57)*('Бюджет на запуск'!R$53:R$57)*(('Бюджет на запуск'!$C$53:$C$57=Расчет!$D62)))/$E62,0)</f>
        <v>0</v>
      </c>
      <c r="S62" s="42">
        <f>IFERROR(SUMPRODUCT(('Бюджет на запуск'!$D$53:$D$57)*('Бюджет на запуск'!S$53:S$57)*(('Бюджет на запуск'!$C$53:$C$57=Расчет!$D62)))/$E62,0)</f>
        <v>0</v>
      </c>
    </row>
    <row r="63" spans="1:19" s="2" customFormat="1" ht="16.5" x14ac:dyDescent="0.3">
      <c r="A63" s="223"/>
      <c r="B63" s="223"/>
      <c r="C63" s="200" t="str">
        <f t="shared" si="52"/>
        <v>Закупка основных средств: помещение в CNY</v>
      </c>
      <c r="D63" s="229" t="str">
        <f>'Бюджет на запуск'!$K$3</f>
        <v>CNY</v>
      </c>
      <c r="E63" s="230">
        <f>SUMIF('Бюджет на запуск'!$C$53:$C$57,Расчет!$D63,'Бюджет на запуск'!$D$53:$D$57)</f>
        <v>0</v>
      </c>
      <c r="F63" s="231">
        <f>IFERROR(SUMPRODUCT(('Бюджет на запуск'!$D$53:$D$57)*('Бюджет на запуск'!$E$53:$E$57)*(('Бюджет на запуск'!$C$53:$C$57=Расчет!$D63)))/$E63,0)</f>
        <v>0</v>
      </c>
      <c r="G63" s="232">
        <f t="shared" si="46"/>
        <v>1</v>
      </c>
      <c r="H63" s="42">
        <f>IFERROR(SUMPRODUCT(('Бюджет на запуск'!$D$53:$D$57)*('Бюджет на запуск'!H$53:H$57)*(('Бюджет на запуск'!$C$53:$C$57=Расчет!$D63)))/$E63,0)</f>
        <v>0</v>
      </c>
      <c r="I63" s="42">
        <f>IFERROR(SUMPRODUCT(('Бюджет на запуск'!$D$53:$D$57)*('Бюджет на запуск'!I$53:I$57)*(('Бюджет на запуск'!$C$53:$C$57=Расчет!$D63)))/$E63,0)</f>
        <v>0</v>
      </c>
      <c r="J63" s="42">
        <f>IFERROR(SUMPRODUCT(('Бюджет на запуск'!$D$53:$D$57)*('Бюджет на запуск'!J$53:J$57)*(('Бюджет на запуск'!$C$53:$C$57=Расчет!$D63)))/$E63,0)</f>
        <v>0</v>
      </c>
      <c r="K63" s="42">
        <f>IFERROR(SUMPRODUCT(('Бюджет на запуск'!$D$53:$D$57)*('Бюджет на запуск'!K$53:K$57)*(('Бюджет на запуск'!$C$53:$C$57=Расчет!$D63)))/$E63,0)</f>
        <v>0</v>
      </c>
      <c r="L63" s="42">
        <f>IFERROR(SUMPRODUCT(('Бюджет на запуск'!$D$53:$D$57)*('Бюджет на запуск'!L$53:L$57)*(('Бюджет на запуск'!$C$53:$C$57=Расчет!$D63)))/$E63,0)</f>
        <v>0</v>
      </c>
      <c r="M63" s="42">
        <f>IFERROR(SUMPRODUCT(('Бюджет на запуск'!$D$53:$D$57)*('Бюджет на запуск'!M$53:M$57)*(('Бюджет на запуск'!$C$53:$C$57=Расчет!$D63)))/$E63,0)</f>
        <v>0</v>
      </c>
      <c r="N63" s="42">
        <f>IFERROR(SUMPRODUCT(('Бюджет на запуск'!$D$53:$D$57)*('Бюджет на запуск'!N$53:N$57)*(('Бюджет на запуск'!$C$53:$C$57=Расчет!$D63)))/$E63,0)</f>
        <v>0</v>
      </c>
      <c r="O63" s="42">
        <f>IFERROR(SUMPRODUCT(('Бюджет на запуск'!$D$53:$D$57)*('Бюджет на запуск'!O$53:O$57)*(('Бюджет на запуск'!$C$53:$C$57=Расчет!$D63)))/$E63,0)</f>
        <v>0</v>
      </c>
      <c r="P63" s="42">
        <f>IFERROR(SUMPRODUCT(('Бюджет на запуск'!$D$53:$D$57)*('Бюджет на запуск'!P$53:P$57)*(('Бюджет на запуск'!$C$53:$C$57=Расчет!$D63)))/$E63,0)</f>
        <v>0</v>
      </c>
      <c r="Q63" s="42">
        <f>IFERROR(SUMPRODUCT(('Бюджет на запуск'!$D$53:$D$57)*('Бюджет на запуск'!Q$53:Q$57)*(('Бюджет на запуск'!$C$53:$C$57=Расчет!$D63)))/$E63,0)</f>
        <v>0</v>
      </c>
      <c r="R63" s="42">
        <f>IFERROR(SUMPRODUCT(('Бюджет на запуск'!$D$53:$D$57)*('Бюджет на запуск'!R$53:R$57)*(('Бюджет на запуск'!$C$53:$C$57=Расчет!$D63)))/$E63,0)</f>
        <v>0</v>
      </c>
      <c r="S63" s="42">
        <f>IFERROR(SUMPRODUCT(('Бюджет на запуск'!$D$53:$D$57)*('Бюджет на запуск'!S$53:S$57)*(('Бюджет на запуск'!$C$53:$C$57=Расчет!$D63)))/$E63,0)</f>
        <v>0</v>
      </c>
    </row>
    <row r="64" spans="1:19" s="2" customFormat="1" ht="16.5" x14ac:dyDescent="0.3">
      <c r="A64" s="223"/>
      <c r="B64" s="223"/>
      <c r="C64" s="200" t="str">
        <f>"Закупка основных средств: оборудование"&amp;" в "&amp;D64</f>
        <v>Закупка основных средств: оборудование в RUB</v>
      </c>
      <c r="D64" s="229" t="str">
        <f>'Бюджет на запуск'!$H$3</f>
        <v>RUB</v>
      </c>
      <c r="E64" s="230">
        <f>SUMIF('Бюджет на запуск'!$C$60:$C$64,Расчет!$D64,'Бюджет на запуск'!$D$60:$D$64)</f>
        <v>0</v>
      </c>
      <c r="F64" s="231">
        <f>IFERROR(SUMPRODUCT(('Бюджет на запуск'!$D$60:$D$64)*('Бюджет на запуск'!$E$60:$E$64)*(('Бюджет на запуск'!$C$60:$C$64=Расчет!$D64)))/$E64,0)</f>
        <v>0</v>
      </c>
      <c r="G64" s="232">
        <f t="shared" si="46"/>
        <v>1</v>
      </c>
      <c r="H64" s="42">
        <f>IFERROR(SUMPRODUCT(('Бюджет на запуск'!$D$60:$D$64)*('Бюджет на запуск'!H$60:H$64)*(('Бюджет на запуск'!$C$60:$C$64=Расчет!$D64)))/$E64,0)</f>
        <v>0</v>
      </c>
      <c r="I64" s="42">
        <f>IFERROR(SUMPRODUCT(('Бюджет на запуск'!$D$60:$D$64)*('Бюджет на запуск'!I$60:I$64)*(('Бюджет на запуск'!$C$60:$C$64=Расчет!$D64)))/$E64,0)</f>
        <v>0</v>
      </c>
      <c r="J64" s="42">
        <f>IFERROR(SUMPRODUCT(('Бюджет на запуск'!$D$60:$D$64)*('Бюджет на запуск'!J$60:J$64)*(('Бюджет на запуск'!$C$60:$C$64=Расчет!$D64)))/$E64,0)</f>
        <v>0</v>
      </c>
      <c r="K64" s="42">
        <f>IFERROR(SUMPRODUCT(('Бюджет на запуск'!$D$60:$D$64)*('Бюджет на запуск'!K$60:K$64)*(('Бюджет на запуск'!$C$60:$C$64=Расчет!$D64)))/$E64,0)</f>
        <v>0</v>
      </c>
      <c r="L64" s="42">
        <f>IFERROR(SUMPRODUCT(('Бюджет на запуск'!$D$60:$D$64)*('Бюджет на запуск'!L$60:L$64)*(('Бюджет на запуск'!$C$60:$C$64=Расчет!$D64)))/$E64,0)</f>
        <v>0</v>
      </c>
      <c r="M64" s="42">
        <f>IFERROR(SUMPRODUCT(('Бюджет на запуск'!$D$60:$D$64)*('Бюджет на запуск'!M$60:M$64)*(('Бюджет на запуск'!$C$60:$C$64=Расчет!$D64)))/$E64,0)</f>
        <v>0</v>
      </c>
      <c r="N64" s="42">
        <f>IFERROR(SUMPRODUCT(('Бюджет на запуск'!$D$60:$D$64)*('Бюджет на запуск'!N$60:N$64)*(('Бюджет на запуск'!$C$60:$C$64=Расчет!$D64)))/$E64,0)</f>
        <v>0</v>
      </c>
      <c r="O64" s="42">
        <f>IFERROR(SUMPRODUCT(('Бюджет на запуск'!$D$60:$D$64)*('Бюджет на запуск'!O$60:O$64)*(('Бюджет на запуск'!$C$60:$C$64=Расчет!$D64)))/$E64,0)</f>
        <v>0</v>
      </c>
      <c r="P64" s="42">
        <f>IFERROR(SUMPRODUCT(('Бюджет на запуск'!$D$60:$D$64)*('Бюджет на запуск'!P$60:P$64)*(('Бюджет на запуск'!$C$60:$C$64=Расчет!$D64)))/$E64,0)</f>
        <v>0</v>
      </c>
      <c r="Q64" s="42">
        <f>IFERROR(SUMPRODUCT(('Бюджет на запуск'!$D$60:$D$64)*('Бюджет на запуск'!Q$60:Q$64)*(('Бюджет на запуск'!$C$60:$C$64=Расчет!$D64)))/$E64,0)</f>
        <v>0</v>
      </c>
      <c r="R64" s="42">
        <f>IFERROR(SUMPRODUCT(('Бюджет на запуск'!$D$60:$D$64)*('Бюджет на запуск'!R$60:R$64)*(('Бюджет на запуск'!$C$60:$C$64=Расчет!$D64)))/$E64,0)</f>
        <v>0</v>
      </c>
      <c r="S64" s="42">
        <f>IFERROR(SUMPRODUCT(('Бюджет на запуск'!$D$60:$D$64)*('Бюджет на запуск'!S$60:S$64)*(('Бюджет на запуск'!$C$60:$C$64=Расчет!$D64)))/$E64,0)</f>
        <v>0</v>
      </c>
    </row>
    <row r="65" spans="1:19" s="2" customFormat="1" ht="16.5" x14ac:dyDescent="0.3">
      <c r="A65" s="223"/>
      <c r="B65" s="223"/>
      <c r="C65" s="200" t="str">
        <f t="shared" ref="C65:C67" si="53">"Закупка основных средств: оборудование"&amp;" в "&amp;D65</f>
        <v>Закупка основных средств: оборудование в AED</v>
      </c>
      <c r="D65" s="229" t="str">
        <f>'Бюджет на запуск'!$I$3</f>
        <v>AED</v>
      </c>
      <c r="E65" s="230">
        <f>SUMIF('Бюджет на запуск'!$C$60:$C$64,Расчет!$D65,'Бюджет на запуск'!$D$60:$D$64)</f>
        <v>0</v>
      </c>
      <c r="F65" s="231">
        <f>IFERROR(SUMPRODUCT(('Бюджет на запуск'!$D$60:$D$64)*('Бюджет на запуск'!$E$60:$E$64)*(('Бюджет на запуск'!$C$60:$C$64=Расчет!$D65)))/$E65,0)</f>
        <v>0</v>
      </c>
      <c r="G65" s="232">
        <f t="shared" si="46"/>
        <v>1</v>
      </c>
      <c r="H65" s="42">
        <f>IFERROR(SUMPRODUCT(('Бюджет на запуск'!$D$60:$D$64)*('Бюджет на запуск'!H$60:H$64)*(('Бюджет на запуск'!$C$60:$C$64=Расчет!$D65)))/$E65,0)</f>
        <v>0</v>
      </c>
      <c r="I65" s="42">
        <f>IFERROR(SUMPRODUCT(('Бюджет на запуск'!$D$60:$D$64)*('Бюджет на запуск'!I$60:I$64)*(('Бюджет на запуск'!$C$60:$C$64=Расчет!$D65)))/$E65,0)</f>
        <v>0</v>
      </c>
      <c r="J65" s="42">
        <f>IFERROR(SUMPRODUCT(('Бюджет на запуск'!$D$60:$D$64)*('Бюджет на запуск'!J$60:J$64)*(('Бюджет на запуск'!$C$60:$C$64=Расчет!$D65)))/$E65,0)</f>
        <v>0</v>
      </c>
      <c r="K65" s="42">
        <f>IFERROR(SUMPRODUCT(('Бюджет на запуск'!$D$60:$D$64)*('Бюджет на запуск'!K$60:K$64)*(('Бюджет на запуск'!$C$60:$C$64=Расчет!$D65)))/$E65,0)</f>
        <v>0</v>
      </c>
      <c r="L65" s="42">
        <f>IFERROR(SUMPRODUCT(('Бюджет на запуск'!$D$60:$D$64)*('Бюджет на запуск'!L$60:L$64)*(('Бюджет на запуск'!$C$60:$C$64=Расчет!$D65)))/$E65,0)</f>
        <v>0</v>
      </c>
      <c r="M65" s="42">
        <f>IFERROR(SUMPRODUCT(('Бюджет на запуск'!$D$60:$D$64)*('Бюджет на запуск'!M$60:M$64)*(('Бюджет на запуск'!$C$60:$C$64=Расчет!$D65)))/$E65,0)</f>
        <v>0</v>
      </c>
      <c r="N65" s="42">
        <f>IFERROR(SUMPRODUCT(('Бюджет на запуск'!$D$60:$D$64)*('Бюджет на запуск'!N$60:N$64)*(('Бюджет на запуск'!$C$60:$C$64=Расчет!$D65)))/$E65,0)</f>
        <v>0</v>
      </c>
      <c r="O65" s="42">
        <f>IFERROR(SUMPRODUCT(('Бюджет на запуск'!$D$60:$D$64)*('Бюджет на запуск'!O$60:O$64)*(('Бюджет на запуск'!$C$60:$C$64=Расчет!$D65)))/$E65,0)</f>
        <v>0</v>
      </c>
      <c r="P65" s="42">
        <f>IFERROR(SUMPRODUCT(('Бюджет на запуск'!$D$60:$D$64)*('Бюджет на запуск'!P$60:P$64)*(('Бюджет на запуск'!$C$60:$C$64=Расчет!$D65)))/$E65,0)</f>
        <v>0</v>
      </c>
      <c r="Q65" s="42">
        <f>IFERROR(SUMPRODUCT(('Бюджет на запуск'!$D$60:$D$64)*('Бюджет на запуск'!Q$60:Q$64)*(('Бюджет на запуск'!$C$60:$C$64=Расчет!$D65)))/$E65,0)</f>
        <v>0</v>
      </c>
      <c r="R65" s="42">
        <f>IFERROR(SUMPRODUCT(('Бюджет на запуск'!$D$60:$D$64)*('Бюджет на запуск'!R$60:R$64)*(('Бюджет на запуск'!$C$60:$C$64=Расчет!$D65)))/$E65,0)</f>
        <v>0</v>
      </c>
      <c r="S65" s="42">
        <f>IFERROR(SUMPRODUCT(('Бюджет на запуск'!$D$60:$D$64)*('Бюджет на запуск'!S$60:S$64)*(('Бюджет на запуск'!$C$60:$C$64=Расчет!$D65)))/$E65,0)</f>
        <v>0</v>
      </c>
    </row>
    <row r="66" spans="1:19" s="2" customFormat="1" ht="16.5" x14ac:dyDescent="0.3">
      <c r="A66" s="223"/>
      <c r="B66" s="223"/>
      <c r="C66" s="200" t="str">
        <f t="shared" si="53"/>
        <v>Закупка основных средств: оборудование в USD</v>
      </c>
      <c r="D66" s="229" t="str">
        <f>'Бюджет на запуск'!$J$3</f>
        <v>USD</v>
      </c>
      <c r="E66" s="230">
        <f>SUMIF('Бюджет на запуск'!$C$60:$C$64,Расчет!$D66,'Бюджет на запуск'!$D$60:$D$64)</f>
        <v>0</v>
      </c>
      <c r="F66" s="231">
        <f>IFERROR(SUMPRODUCT(('Бюджет на запуск'!$D$60:$D$64)*('Бюджет на запуск'!$E$60:$E$64)*(('Бюджет на запуск'!$C$60:$C$64=Расчет!$D66)))/$E66,0)</f>
        <v>0</v>
      </c>
      <c r="G66" s="232">
        <f t="shared" si="46"/>
        <v>1</v>
      </c>
      <c r="H66" s="42">
        <f>IFERROR(SUMPRODUCT(('Бюджет на запуск'!$D$60:$D$64)*('Бюджет на запуск'!H$60:H$64)*(('Бюджет на запуск'!$C$60:$C$64=Расчет!$D66)))/$E66,0)</f>
        <v>0</v>
      </c>
      <c r="I66" s="42">
        <f>IFERROR(SUMPRODUCT(('Бюджет на запуск'!$D$60:$D$64)*('Бюджет на запуск'!I$60:I$64)*(('Бюджет на запуск'!$C$60:$C$64=Расчет!$D66)))/$E66,0)</f>
        <v>0</v>
      </c>
      <c r="J66" s="42">
        <f>IFERROR(SUMPRODUCT(('Бюджет на запуск'!$D$60:$D$64)*('Бюджет на запуск'!J$60:J$64)*(('Бюджет на запуск'!$C$60:$C$64=Расчет!$D66)))/$E66,0)</f>
        <v>0</v>
      </c>
      <c r="K66" s="42">
        <f>IFERROR(SUMPRODUCT(('Бюджет на запуск'!$D$60:$D$64)*('Бюджет на запуск'!K$60:K$64)*(('Бюджет на запуск'!$C$60:$C$64=Расчет!$D66)))/$E66,0)</f>
        <v>0</v>
      </c>
      <c r="L66" s="42">
        <f>IFERROR(SUMPRODUCT(('Бюджет на запуск'!$D$60:$D$64)*('Бюджет на запуск'!L$60:L$64)*(('Бюджет на запуск'!$C$60:$C$64=Расчет!$D66)))/$E66,0)</f>
        <v>0</v>
      </c>
      <c r="M66" s="42">
        <f>IFERROR(SUMPRODUCT(('Бюджет на запуск'!$D$60:$D$64)*('Бюджет на запуск'!M$60:M$64)*(('Бюджет на запуск'!$C$60:$C$64=Расчет!$D66)))/$E66,0)</f>
        <v>0</v>
      </c>
      <c r="N66" s="42">
        <f>IFERROR(SUMPRODUCT(('Бюджет на запуск'!$D$60:$D$64)*('Бюджет на запуск'!N$60:N$64)*(('Бюджет на запуск'!$C$60:$C$64=Расчет!$D66)))/$E66,0)</f>
        <v>0</v>
      </c>
      <c r="O66" s="42">
        <f>IFERROR(SUMPRODUCT(('Бюджет на запуск'!$D$60:$D$64)*('Бюджет на запуск'!O$60:O$64)*(('Бюджет на запуск'!$C$60:$C$64=Расчет!$D66)))/$E66,0)</f>
        <v>0</v>
      </c>
      <c r="P66" s="42">
        <f>IFERROR(SUMPRODUCT(('Бюджет на запуск'!$D$60:$D$64)*('Бюджет на запуск'!P$60:P$64)*(('Бюджет на запуск'!$C$60:$C$64=Расчет!$D66)))/$E66,0)</f>
        <v>0</v>
      </c>
      <c r="Q66" s="42">
        <f>IFERROR(SUMPRODUCT(('Бюджет на запуск'!$D$60:$D$64)*('Бюджет на запуск'!Q$60:Q$64)*(('Бюджет на запуск'!$C$60:$C$64=Расчет!$D66)))/$E66,0)</f>
        <v>0</v>
      </c>
      <c r="R66" s="42">
        <f>IFERROR(SUMPRODUCT(('Бюджет на запуск'!$D$60:$D$64)*('Бюджет на запуск'!R$60:R$64)*(('Бюджет на запуск'!$C$60:$C$64=Расчет!$D66)))/$E66,0)</f>
        <v>0</v>
      </c>
      <c r="S66" s="42">
        <f>IFERROR(SUMPRODUCT(('Бюджет на запуск'!$D$60:$D$64)*('Бюджет на запуск'!S$60:S$64)*(('Бюджет на запуск'!$C$60:$C$64=Расчет!$D66)))/$E66,0)</f>
        <v>0</v>
      </c>
    </row>
    <row r="67" spans="1:19" s="2" customFormat="1" ht="16.5" x14ac:dyDescent="0.3">
      <c r="A67" s="223"/>
      <c r="B67" s="223"/>
      <c r="C67" s="200" t="str">
        <f t="shared" si="53"/>
        <v>Закупка основных средств: оборудование в CNY</v>
      </c>
      <c r="D67" s="229" t="str">
        <f>'Бюджет на запуск'!$K$3</f>
        <v>CNY</v>
      </c>
      <c r="E67" s="230">
        <f>SUMIF('Бюджет на запуск'!$C$60:$C$64,Расчет!$D67,'Бюджет на запуск'!$D$60:$D$64)</f>
        <v>250000</v>
      </c>
      <c r="F67" s="231">
        <f>IFERROR(SUMPRODUCT(('Бюджет на запуск'!$D$60:$D$64)*('Бюджет на запуск'!$E$60:$E$64)*(('Бюджет на запуск'!$C$60:$C$64=Расчет!$D67)))/$E67,0)</f>
        <v>0.13</v>
      </c>
      <c r="G67" s="232">
        <f t="shared" si="46"/>
        <v>1</v>
      </c>
      <c r="H67" s="42">
        <f>IFERROR(SUMPRODUCT(('Бюджет на запуск'!$D$60:$D$64)*('Бюджет на запуск'!H$60:H$64)*(('Бюджет на запуск'!$C$60:$C$64=Расчет!$D67)))/$E67,0)</f>
        <v>0</v>
      </c>
      <c r="I67" s="42">
        <f>IFERROR(SUMPRODUCT(('Бюджет на запуск'!$D$60:$D$64)*('Бюджет на запуск'!I$60:I$64)*(('Бюджет на запуск'!$C$60:$C$64=Расчет!$D67)))/$E67,0)</f>
        <v>0</v>
      </c>
      <c r="J67" s="42">
        <f>IFERROR(SUMPRODUCT(('Бюджет на запуск'!$D$60:$D$64)*('Бюджет на запуск'!J$60:J$64)*(('Бюджет на запуск'!$C$60:$C$64=Расчет!$D67)))/$E67,0)</f>
        <v>0</v>
      </c>
      <c r="K67" s="42">
        <f>IFERROR(SUMPRODUCT(('Бюджет на запуск'!$D$60:$D$64)*('Бюджет на запуск'!K$60:K$64)*(('Бюджет на запуск'!$C$60:$C$64=Расчет!$D67)))/$E67,0)</f>
        <v>0.33333333333333331</v>
      </c>
      <c r="L67" s="42">
        <f>IFERROR(SUMPRODUCT(('Бюджет на запуск'!$D$60:$D$64)*('Бюджет на запуск'!L$60:L$64)*(('Бюджет на запуск'!$C$60:$C$64=Расчет!$D67)))/$E67,0)</f>
        <v>0</v>
      </c>
      <c r="M67" s="42">
        <f>IFERROR(SUMPRODUCT(('Бюджет на запуск'!$D$60:$D$64)*('Бюджет на запуск'!M$60:M$64)*(('Бюджет на запуск'!$C$60:$C$64=Расчет!$D67)))/$E67,0)</f>
        <v>0.33333333333333331</v>
      </c>
      <c r="N67" s="42">
        <f>IFERROR(SUMPRODUCT(('Бюджет на запуск'!$D$60:$D$64)*('Бюджет на запуск'!N$60:N$64)*(('Бюджет на запуск'!$C$60:$C$64=Расчет!$D67)))/$E67,0)</f>
        <v>0.33333333333333331</v>
      </c>
      <c r="O67" s="42">
        <f>IFERROR(SUMPRODUCT(('Бюджет на запуск'!$D$60:$D$64)*('Бюджет на запуск'!O$60:O$64)*(('Бюджет на запуск'!$C$60:$C$64=Расчет!$D67)))/$E67,0)</f>
        <v>0</v>
      </c>
      <c r="P67" s="42">
        <f>IFERROR(SUMPRODUCT(('Бюджет на запуск'!$D$60:$D$64)*('Бюджет на запуск'!P$60:P$64)*(('Бюджет на запуск'!$C$60:$C$64=Расчет!$D67)))/$E67,0)</f>
        <v>0</v>
      </c>
      <c r="Q67" s="42">
        <f>IFERROR(SUMPRODUCT(('Бюджет на запуск'!$D$60:$D$64)*('Бюджет на запуск'!Q$60:Q$64)*(('Бюджет на запуск'!$C$60:$C$64=Расчет!$D67)))/$E67,0)</f>
        <v>0</v>
      </c>
      <c r="R67" s="42">
        <f>IFERROR(SUMPRODUCT(('Бюджет на запуск'!$D$60:$D$64)*('Бюджет на запуск'!R$60:R$64)*(('Бюджет на запуск'!$C$60:$C$64=Расчет!$D67)))/$E67,0)</f>
        <v>0</v>
      </c>
      <c r="S67" s="42">
        <f>IFERROR(SUMPRODUCT(('Бюджет на запуск'!$D$60:$D$64)*('Бюджет на запуск'!S$60:S$64)*(('Бюджет на запуск'!$C$60:$C$64=Расчет!$D67)))/$E67,0)</f>
        <v>0</v>
      </c>
    </row>
    <row r="68" spans="1:19" s="2" customFormat="1" ht="16.5" x14ac:dyDescent="0.3">
      <c r="A68" s="223"/>
      <c r="B68" s="223"/>
      <c r="C68" s="200" t="str">
        <f>"Пусковые расходы"&amp;" в "&amp;D68</f>
        <v>Пусковые расходы в RUB</v>
      </c>
      <c r="D68" s="229" t="str">
        <f>'Бюджет на запуск'!$H$3</f>
        <v>RUB</v>
      </c>
      <c r="E68" s="230">
        <f>SUMIF('Бюджет на запуск'!$C$67:$C$70,Расчет!$D68,'Бюджет на запуск'!$D$67:$D$70)</f>
        <v>500000</v>
      </c>
      <c r="F68" s="231">
        <f>IFERROR(SUMPRODUCT(('Бюджет на запуск'!$D$67:$D$70)*('Бюджет на запуск'!$E$67:$E$70)*(('Бюджет на запуск'!$C$67:$C$70=Расчет!$D68)))/$E68,0)</f>
        <v>0</v>
      </c>
      <c r="G68" s="232">
        <f t="shared" si="46"/>
        <v>1</v>
      </c>
      <c r="H68" s="42">
        <f>IFERROR(SUMPRODUCT(('Бюджет на запуск'!$D$67:$D$70)*('Бюджет на запуск'!H$67:H$70)*(('Бюджет на запуск'!$C$67:$C$70=Расчет!$D68)))/$E68,0)</f>
        <v>0</v>
      </c>
      <c r="I68" s="42">
        <f>IFERROR(SUMPRODUCT(('Бюджет на запуск'!$D$67:$D$70)*('Бюджет на запуск'!I$67:I$70)*(('Бюджет на запуск'!$C$67:$C$70=Расчет!$D68)))/$E68,0)</f>
        <v>0</v>
      </c>
      <c r="J68" s="42">
        <f>IFERROR(SUMPRODUCT(('Бюджет на запуск'!$D$67:$D$70)*('Бюджет на запуск'!J$67:J$70)*(('Бюджет на запуск'!$C$67:$C$70=Расчет!$D68)))/$E68,0)</f>
        <v>0</v>
      </c>
      <c r="K68" s="42">
        <f>IFERROR(SUMPRODUCT(('Бюджет на запуск'!$D$67:$D$70)*('Бюджет на запуск'!K$67:K$70)*(('Бюджет на запуск'!$C$67:$C$70=Расчет!$D68)))/$E68,0)</f>
        <v>0</v>
      </c>
      <c r="L68" s="42">
        <f>IFERROR(SUMPRODUCT(('Бюджет на запуск'!$D$67:$D$70)*('Бюджет на запуск'!L$67:L$70)*(('Бюджет на запуск'!$C$67:$C$70=Расчет!$D68)))/$E68,0)</f>
        <v>0</v>
      </c>
      <c r="M68" s="42">
        <f>IFERROR(SUMPRODUCT(('Бюджет на запуск'!$D$67:$D$70)*('Бюджет на запуск'!M$67:M$70)*(('Бюджет на запуск'!$C$67:$C$70=Расчет!$D68)))/$E68,0)</f>
        <v>0.5</v>
      </c>
      <c r="N68" s="42">
        <f>IFERROR(SUMPRODUCT(('Бюджет на запуск'!$D$67:$D$70)*('Бюджет на запуск'!N$67:N$70)*(('Бюджет на запуск'!$C$67:$C$70=Расчет!$D68)))/$E68,0)</f>
        <v>0.5</v>
      </c>
      <c r="O68" s="42">
        <f>IFERROR(SUMPRODUCT(('Бюджет на запуск'!$D$67:$D$70)*('Бюджет на запуск'!O$67:O$70)*(('Бюджет на запуск'!$C$67:$C$70=Расчет!$D68)))/$E68,0)</f>
        <v>0</v>
      </c>
      <c r="P68" s="42">
        <f>IFERROR(SUMPRODUCT(('Бюджет на запуск'!$D$67:$D$70)*('Бюджет на запуск'!P$67:P$70)*(('Бюджет на запуск'!$C$67:$C$70=Расчет!$D68)))/$E68,0)</f>
        <v>0</v>
      </c>
      <c r="Q68" s="42">
        <f>IFERROR(SUMPRODUCT(('Бюджет на запуск'!$D$67:$D$70)*('Бюджет на запуск'!Q$67:Q$70)*(('Бюджет на запуск'!$C$67:$C$70=Расчет!$D68)))/$E68,0)</f>
        <v>0</v>
      </c>
      <c r="R68" s="42">
        <f>IFERROR(SUMPRODUCT(('Бюджет на запуск'!$D$67:$D$70)*('Бюджет на запуск'!R$67:R$70)*(('Бюджет на запуск'!$C$67:$C$70=Расчет!$D68)))/$E68,0)</f>
        <v>0</v>
      </c>
      <c r="S68" s="42">
        <f>IFERROR(SUMPRODUCT(('Бюджет на запуск'!$D$67:$D$70)*('Бюджет на запуск'!S$67:S$70)*(('Бюджет на запуск'!$C$67:$C$70=Расчет!$D68)))/$E68,0)</f>
        <v>0</v>
      </c>
    </row>
    <row r="69" spans="1:19" s="2" customFormat="1" ht="16.5" x14ac:dyDescent="0.3">
      <c r="A69" s="223"/>
      <c r="B69" s="223"/>
      <c r="C69" s="200" t="str">
        <f t="shared" ref="C69:C71" si="54">"Пусковые расходы"&amp;" в "&amp;D69</f>
        <v>Пусковые расходы в AED</v>
      </c>
      <c r="D69" s="229" t="str">
        <f>'Бюджет на запуск'!$I$3</f>
        <v>AED</v>
      </c>
      <c r="E69" s="230">
        <f>SUMIF('Бюджет на запуск'!$C$67:$C$70,Расчет!$D69,'Бюджет на запуск'!$D$67:$D$70)</f>
        <v>0</v>
      </c>
      <c r="F69" s="231">
        <f>IFERROR(SUMPRODUCT(('Бюджет на запуск'!$D$67:$D$70)*('Бюджет на запуск'!$E$67:$E$70)*(('Бюджет на запуск'!$C$67:$C$70=Расчет!$D69)))/$E69,0)</f>
        <v>0</v>
      </c>
      <c r="G69" s="232">
        <f t="shared" si="46"/>
        <v>1</v>
      </c>
      <c r="H69" s="42">
        <f>IFERROR(SUMPRODUCT(('Бюджет на запуск'!$D$67:$D$70)*('Бюджет на запуск'!H$67:H$70)*(('Бюджет на запуск'!$C$67:$C$70=Расчет!$D69)))/$E69,0)</f>
        <v>0</v>
      </c>
      <c r="I69" s="42">
        <f>IFERROR(SUMPRODUCT(('Бюджет на запуск'!$D$67:$D$70)*('Бюджет на запуск'!I$67:I$70)*(('Бюджет на запуск'!$C$67:$C$70=Расчет!$D69)))/$E69,0)</f>
        <v>0</v>
      </c>
      <c r="J69" s="42">
        <f>IFERROR(SUMPRODUCT(('Бюджет на запуск'!$D$67:$D$70)*('Бюджет на запуск'!J$67:J$70)*(('Бюджет на запуск'!$C$67:$C$70=Расчет!$D69)))/$E69,0)</f>
        <v>0</v>
      </c>
      <c r="K69" s="42">
        <f>IFERROR(SUMPRODUCT(('Бюджет на запуск'!$D$67:$D$70)*('Бюджет на запуск'!K$67:K$70)*(('Бюджет на запуск'!$C$67:$C$70=Расчет!$D69)))/$E69,0)</f>
        <v>0</v>
      </c>
      <c r="L69" s="42">
        <f>IFERROR(SUMPRODUCT(('Бюджет на запуск'!$D$67:$D$70)*('Бюджет на запуск'!L$67:L$70)*(('Бюджет на запуск'!$C$67:$C$70=Расчет!$D69)))/$E69,0)</f>
        <v>0</v>
      </c>
      <c r="M69" s="42">
        <f>IFERROR(SUMPRODUCT(('Бюджет на запуск'!$D$67:$D$70)*('Бюджет на запуск'!M$67:M$70)*(('Бюджет на запуск'!$C$67:$C$70=Расчет!$D69)))/$E69,0)</f>
        <v>0</v>
      </c>
      <c r="N69" s="42">
        <f>IFERROR(SUMPRODUCT(('Бюджет на запуск'!$D$67:$D$70)*('Бюджет на запуск'!N$67:N$70)*(('Бюджет на запуск'!$C$67:$C$70=Расчет!$D69)))/$E69,0)</f>
        <v>0</v>
      </c>
      <c r="O69" s="42">
        <f>IFERROR(SUMPRODUCT(('Бюджет на запуск'!$D$67:$D$70)*('Бюджет на запуск'!O$67:O$70)*(('Бюджет на запуск'!$C$67:$C$70=Расчет!$D69)))/$E69,0)</f>
        <v>0</v>
      </c>
      <c r="P69" s="42">
        <f>IFERROR(SUMPRODUCT(('Бюджет на запуск'!$D$67:$D$70)*('Бюджет на запуск'!P$67:P$70)*(('Бюджет на запуск'!$C$67:$C$70=Расчет!$D69)))/$E69,0)</f>
        <v>0</v>
      </c>
      <c r="Q69" s="42">
        <f>IFERROR(SUMPRODUCT(('Бюджет на запуск'!$D$67:$D$70)*('Бюджет на запуск'!Q$67:Q$70)*(('Бюджет на запуск'!$C$67:$C$70=Расчет!$D69)))/$E69,0)</f>
        <v>0</v>
      </c>
      <c r="R69" s="42">
        <f>IFERROR(SUMPRODUCT(('Бюджет на запуск'!$D$67:$D$70)*('Бюджет на запуск'!R$67:R$70)*(('Бюджет на запуск'!$C$67:$C$70=Расчет!$D69)))/$E69,0)</f>
        <v>0</v>
      </c>
      <c r="S69" s="42">
        <f>IFERROR(SUMPRODUCT(('Бюджет на запуск'!$D$67:$D$70)*('Бюджет на запуск'!S$67:S$70)*(('Бюджет на запуск'!$C$67:$C$70=Расчет!$D69)))/$E69,0)</f>
        <v>0</v>
      </c>
    </row>
    <row r="70" spans="1:19" s="2" customFormat="1" ht="16.5" x14ac:dyDescent="0.3">
      <c r="A70" s="223"/>
      <c r="B70" s="223"/>
      <c r="C70" s="200" t="str">
        <f t="shared" si="54"/>
        <v>Пусковые расходы в USD</v>
      </c>
      <c r="D70" s="229" t="str">
        <f>'Бюджет на запуск'!$J$3</f>
        <v>USD</v>
      </c>
      <c r="E70" s="230">
        <f>SUMIF('Бюджет на запуск'!$C$67:$C$70,Расчет!$D70,'Бюджет на запуск'!$D$67:$D$70)</f>
        <v>0</v>
      </c>
      <c r="F70" s="231">
        <f>IFERROR(SUMPRODUCT(('Бюджет на запуск'!$D$67:$D$70)*('Бюджет на запуск'!$E$67:$E$70)*(('Бюджет на запуск'!$C$67:$C$70=Расчет!$D70)))/$E70,0)</f>
        <v>0</v>
      </c>
      <c r="G70" s="232">
        <f t="shared" si="46"/>
        <v>1</v>
      </c>
      <c r="H70" s="42">
        <f>IFERROR(SUMPRODUCT(('Бюджет на запуск'!$D$67:$D$70)*('Бюджет на запуск'!H$67:H$70)*(('Бюджет на запуск'!$C$67:$C$70=Расчет!$D70)))/$E70,0)</f>
        <v>0</v>
      </c>
      <c r="I70" s="42">
        <f>IFERROR(SUMPRODUCT(('Бюджет на запуск'!$D$67:$D$70)*('Бюджет на запуск'!I$67:I$70)*(('Бюджет на запуск'!$C$67:$C$70=Расчет!$D70)))/$E70,0)</f>
        <v>0</v>
      </c>
      <c r="J70" s="42">
        <f>IFERROR(SUMPRODUCT(('Бюджет на запуск'!$D$67:$D$70)*('Бюджет на запуск'!J$67:J$70)*(('Бюджет на запуск'!$C$67:$C$70=Расчет!$D70)))/$E70,0)</f>
        <v>0</v>
      </c>
      <c r="K70" s="42">
        <f>IFERROR(SUMPRODUCT(('Бюджет на запуск'!$D$67:$D$70)*('Бюджет на запуск'!K$67:K$70)*(('Бюджет на запуск'!$C$67:$C$70=Расчет!$D70)))/$E70,0)</f>
        <v>0</v>
      </c>
      <c r="L70" s="42">
        <f>IFERROR(SUMPRODUCT(('Бюджет на запуск'!$D$67:$D$70)*('Бюджет на запуск'!L$67:L$70)*(('Бюджет на запуск'!$C$67:$C$70=Расчет!$D70)))/$E70,0)</f>
        <v>0</v>
      </c>
      <c r="M70" s="42">
        <f>IFERROR(SUMPRODUCT(('Бюджет на запуск'!$D$67:$D$70)*('Бюджет на запуск'!M$67:M$70)*(('Бюджет на запуск'!$C$67:$C$70=Расчет!$D70)))/$E70,0)</f>
        <v>0</v>
      </c>
      <c r="N70" s="42">
        <f>IFERROR(SUMPRODUCT(('Бюджет на запуск'!$D$67:$D$70)*('Бюджет на запуск'!N$67:N$70)*(('Бюджет на запуск'!$C$67:$C$70=Расчет!$D70)))/$E70,0)</f>
        <v>0</v>
      </c>
      <c r="O70" s="42">
        <f>IFERROR(SUMPRODUCT(('Бюджет на запуск'!$D$67:$D$70)*('Бюджет на запуск'!O$67:O$70)*(('Бюджет на запуск'!$C$67:$C$70=Расчет!$D70)))/$E70,0)</f>
        <v>0</v>
      </c>
      <c r="P70" s="42">
        <f>IFERROR(SUMPRODUCT(('Бюджет на запуск'!$D$67:$D$70)*('Бюджет на запуск'!P$67:P$70)*(('Бюджет на запуск'!$C$67:$C$70=Расчет!$D70)))/$E70,0)</f>
        <v>0</v>
      </c>
      <c r="Q70" s="42">
        <f>IFERROR(SUMPRODUCT(('Бюджет на запуск'!$D$67:$D$70)*('Бюджет на запуск'!Q$67:Q$70)*(('Бюджет на запуск'!$C$67:$C$70=Расчет!$D70)))/$E70,0)</f>
        <v>0</v>
      </c>
      <c r="R70" s="42">
        <f>IFERROR(SUMPRODUCT(('Бюджет на запуск'!$D$67:$D$70)*('Бюджет на запуск'!R$67:R$70)*(('Бюджет на запуск'!$C$67:$C$70=Расчет!$D70)))/$E70,0)</f>
        <v>0</v>
      </c>
      <c r="S70" s="42">
        <f>IFERROR(SUMPRODUCT(('Бюджет на запуск'!$D$67:$D$70)*('Бюджет на запуск'!S$67:S$70)*(('Бюджет на запуск'!$C$67:$C$70=Расчет!$D70)))/$E70,0)</f>
        <v>0</v>
      </c>
    </row>
    <row r="71" spans="1:19" s="2" customFormat="1" ht="16.5" x14ac:dyDescent="0.3">
      <c r="A71" s="223"/>
      <c r="B71" s="223"/>
      <c r="C71" s="200" t="str">
        <f t="shared" si="54"/>
        <v>Пусковые расходы в CNY</v>
      </c>
      <c r="D71" s="229" t="str">
        <f>'Бюджет на запуск'!$K$3</f>
        <v>CNY</v>
      </c>
      <c r="E71" s="230">
        <f>SUMIF('Бюджет на запуск'!$C$67:$C$70,Расчет!$D71,'Бюджет на запуск'!$D$67:$D$70)</f>
        <v>0</v>
      </c>
      <c r="F71" s="231">
        <f>IFERROR(SUMPRODUCT(('Бюджет на запуск'!$D$67:$D$70)*('Бюджет на запуск'!$E$67:$E$70)*(('Бюджет на запуск'!$C$67:$C$70=Расчет!$D71)))/$E71,0)</f>
        <v>0</v>
      </c>
      <c r="G71" s="232">
        <f t="shared" si="46"/>
        <v>1</v>
      </c>
      <c r="H71" s="42">
        <f>IFERROR(SUMPRODUCT(('Бюджет на запуск'!$D$67:$D$70)*('Бюджет на запуск'!H$67:H$70)*(('Бюджет на запуск'!$C$67:$C$70=Расчет!$D71)))/$E71,0)</f>
        <v>0</v>
      </c>
      <c r="I71" s="42">
        <f>IFERROR(SUMPRODUCT(('Бюджет на запуск'!$D$67:$D$70)*('Бюджет на запуск'!I$67:I$70)*(('Бюджет на запуск'!$C$67:$C$70=Расчет!$D71)))/$E71,0)</f>
        <v>0</v>
      </c>
      <c r="J71" s="42">
        <f>IFERROR(SUMPRODUCT(('Бюджет на запуск'!$D$67:$D$70)*('Бюджет на запуск'!J$67:J$70)*(('Бюджет на запуск'!$C$67:$C$70=Расчет!$D71)))/$E71,0)</f>
        <v>0</v>
      </c>
      <c r="K71" s="42">
        <f>IFERROR(SUMPRODUCT(('Бюджет на запуск'!$D$67:$D$70)*('Бюджет на запуск'!K$67:K$70)*(('Бюджет на запуск'!$C$67:$C$70=Расчет!$D71)))/$E71,0)</f>
        <v>0</v>
      </c>
      <c r="L71" s="42">
        <f>IFERROR(SUMPRODUCT(('Бюджет на запуск'!$D$67:$D$70)*('Бюджет на запуск'!L$67:L$70)*(('Бюджет на запуск'!$C$67:$C$70=Расчет!$D71)))/$E71,0)</f>
        <v>0</v>
      </c>
      <c r="M71" s="42">
        <f>IFERROR(SUMPRODUCT(('Бюджет на запуск'!$D$67:$D$70)*('Бюджет на запуск'!M$67:M$70)*(('Бюджет на запуск'!$C$67:$C$70=Расчет!$D71)))/$E71,0)</f>
        <v>0</v>
      </c>
      <c r="N71" s="42">
        <f>IFERROR(SUMPRODUCT(('Бюджет на запуск'!$D$67:$D$70)*('Бюджет на запуск'!N$67:N$70)*(('Бюджет на запуск'!$C$67:$C$70=Расчет!$D71)))/$E71,0)</f>
        <v>0</v>
      </c>
      <c r="O71" s="42">
        <f>IFERROR(SUMPRODUCT(('Бюджет на запуск'!$D$67:$D$70)*('Бюджет на запуск'!O$67:O$70)*(('Бюджет на запуск'!$C$67:$C$70=Расчет!$D71)))/$E71,0)</f>
        <v>0</v>
      </c>
      <c r="P71" s="42">
        <f>IFERROR(SUMPRODUCT(('Бюджет на запуск'!$D$67:$D$70)*('Бюджет на запуск'!P$67:P$70)*(('Бюджет на запуск'!$C$67:$C$70=Расчет!$D71)))/$E71,0)</f>
        <v>0</v>
      </c>
      <c r="Q71" s="42">
        <f>IFERROR(SUMPRODUCT(('Бюджет на запуск'!$D$67:$D$70)*('Бюджет на запуск'!Q$67:Q$70)*(('Бюджет на запуск'!$C$67:$C$70=Расчет!$D71)))/$E71,0)</f>
        <v>0</v>
      </c>
      <c r="R71" s="42">
        <f>IFERROR(SUMPRODUCT(('Бюджет на запуск'!$D$67:$D$70)*('Бюджет на запуск'!R$67:R$70)*(('Бюджет на запуск'!$C$67:$C$70=Расчет!$D71)))/$E71,0)</f>
        <v>0</v>
      </c>
      <c r="S71" s="42">
        <f>IFERROR(SUMPRODUCT(('Бюджет на запуск'!$D$67:$D$70)*('Бюджет на запуск'!S$67:S$70)*(('Бюджет на запуск'!$C$67:$C$70=Расчет!$D71)))/$E71,0)</f>
        <v>0</v>
      </c>
    </row>
    <row r="72" spans="1:19" s="2" customFormat="1" ht="16.5" x14ac:dyDescent="0.3">
      <c r="A72" s="223"/>
      <c r="B72" s="223"/>
      <c r="C72" s="200" t="str">
        <f>"Адаптация продукта"&amp;" в "&amp;D72</f>
        <v>Адаптация продукта в RUB</v>
      </c>
      <c r="D72" s="229" t="str">
        <f>'Бюджет на запуск'!$H$3</f>
        <v>RUB</v>
      </c>
      <c r="E72" s="230">
        <f>SUMIF('Бюджет на запуск'!$C$73:$C$78,Расчет!$D72,'Бюджет на запуск'!$D$73:$D$78)</f>
        <v>3850000</v>
      </c>
      <c r="F72" s="231">
        <f>IFERROR(SUMPRODUCT(('Бюджет на запуск'!$D$73:$D$78)*('Бюджет на запуск'!$E$73:$E$78)*(('Бюджет на запуск'!$C$73:$C$78=Расчет!$D72)))/$E72,0)</f>
        <v>2.8571428571428571E-2</v>
      </c>
      <c r="G72" s="232">
        <f t="shared" ref="G72:G103" si="55">IF(E72=0,1,SUM(H72:S72))</f>
        <v>1</v>
      </c>
      <c r="H72" s="42">
        <f>IFERROR(SUMPRODUCT(('Бюджет на запуск'!$D$73:$D$78)*('Бюджет на запуск'!H$73:H$78)*(('Бюджет на запуск'!$C$73:$C$78=Расчет!$D72)))/$E72,0)</f>
        <v>0</v>
      </c>
      <c r="I72" s="42">
        <f>IFERROR(SUMPRODUCT(('Бюджет на запуск'!$D$73:$D$78)*('Бюджет на запуск'!I$73:I$78)*(('Бюджет на запуск'!$C$73:$C$78=Расчет!$D72)))/$E72,0)</f>
        <v>0</v>
      </c>
      <c r="J72" s="42">
        <f>IFERROR(SUMPRODUCT(('Бюджет на запуск'!$D$73:$D$78)*('Бюджет на запуск'!J$73:J$78)*(('Бюджет на запуск'!$C$73:$C$78=Расчет!$D72)))/$E72,0)</f>
        <v>0</v>
      </c>
      <c r="K72" s="42">
        <f>IFERROR(SUMPRODUCT(('Бюджет на запуск'!$D$73:$D$78)*('Бюджет на запуск'!K$73:K$78)*(('Бюджет на запуск'!$C$73:$C$78=Расчет!$D72)))/$E72,0)</f>
        <v>0</v>
      </c>
      <c r="L72" s="42">
        <f>IFERROR(SUMPRODUCT(('Бюджет на запуск'!$D$73:$D$78)*('Бюджет на запуск'!L$73:L$78)*(('Бюджет на запуск'!$C$73:$C$78=Расчет!$D72)))/$E72,0)</f>
        <v>0</v>
      </c>
      <c r="M72" s="42">
        <f>IFERROR(SUMPRODUCT(('Бюджет на запуск'!$D$73:$D$78)*('Бюджет на запуск'!M$73:M$78)*(('Бюджет на запуск'!$C$73:$C$78=Расчет!$D72)))/$E72,0)</f>
        <v>0.8441558441558441</v>
      </c>
      <c r="N72" s="42">
        <f>IFERROR(SUMPRODUCT(('Бюджет на запуск'!$D$73:$D$78)*('Бюджет на запуск'!N$73:N$78)*(('Бюджет на запуск'!$C$73:$C$78=Расчет!$D72)))/$E72,0)</f>
        <v>0.15584415584415584</v>
      </c>
      <c r="O72" s="42">
        <f>IFERROR(SUMPRODUCT(('Бюджет на запуск'!$D$73:$D$78)*('Бюджет на запуск'!O$73:O$78)*(('Бюджет на запуск'!$C$73:$C$78=Расчет!$D72)))/$E72,0)</f>
        <v>0</v>
      </c>
      <c r="P72" s="42">
        <f>IFERROR(SUMPRODUCT(('Бюджет на запуск'!$D$73:$D$78)*('Бюджет на запуск'!P$73:P$78)*(('Бюджет на запуск'!$C$73:$C$78=Расчет!$D72)))/$E72,0)</f>
        <v>0</v>
      </c>
      <c r="Q72" s="42">
        <f>IFERROR(SUMPRODUCT(('Бюджет на запуск'!$D$73:$D$78)*('Бюджет на запуск'!Q$73:Q$78)*(('Бюджет на запуск'!$C$73:$C$78=Расчет!$D72)))/$E72,0)</f>
        <v>0</v>
      </c>
      <c r="R72" s="42">
        <f>IFERROR(SUMPRODUCT(('Бюджет на запуск'!$D$73:$D$78)*('Бюджет на запуск'!R$73:R$78)*(('Бюджет на запуск'!$C$73:$C$78=Расчет!$D72)))/$E72,0)</f>
        <v>0</v>
      </c>
      <c r="S72" s="42">
        <f>IFERROR(SUMPRODUCT(('Бюджет на запуск'!$D$73:$D$78)*('Бюджет на запуск'!S$73:S$78)*(('Бюджет на запуск'!$C$73:$C$78=Расчет!$D72)))/$E72,0)</f>
        <v>0</v>
      </c>
    </row>
    <row r="73" spans="1:19" s="2" customFormat="1" ht="16.5" x14ac:dyDescent="0.3">
      <c r="A73" s="223"/>
      <c r="B73" s="223"/>
      <c r="C73" s="200" t="str">
        <f t="shared" ref="C73:C75" si="56">"Адаптация продукта"&amp;" в "&amp;D73</f>
        <v>Адаптация продукта в AED</v>
      </c>
      <c r="D73" s="229" t="str">
        <f>'Бюджет на запуск'!$I$3</f>
        <v>AED</v>
      </c>
      <c r="E73" s="230">
        <f>SUMIF('Бюджет на запуск'!$C$73:$C$78,Расчет!$D73,'Бюджет на запуск'!$D$73:$D$78)</f>
        <v>0</v>
      </c>
      <c r="F73" s="231">
        <f>IFERROR(SUMPRODUCT(('Бюджет на запуск'!$D$73:$D$78)*('Бюджет на запуск'!$E$73:$E$78)*(('Бюджет на запуск'!$C$73:$C$78=Расчет!$D73)))/$E73,0)</f>
        <v>0</v>
      </c>
      <c r="G73" s="232">
        <f t="shared" si="55"/>
        <v>1</v>
      </c>
      <c r="H73" s="42">
        <f>IFERROR(SUMPRODUCT(('Бюджет на запуск'!$D$73:$D$78)*('Бюджет на запуск'!H$73:H$78)*(('Бюджет на запуск'!$C$73:$C$78=Расчет!$D73)))/$E73,0)</f>
        <v>0</v>
      </c>
      <c r="I73" s="42">
        <f>IFERROR(SUMPRODUCT(('Бюджет на запуск'!$D$73:$D$78)*('Бюджет на запуск'!I$73:I$78)*(('Бюджет на запуск'!$C$73:$C$78=Расчет!$D73)))/$E73,0)</f>
        <v>0</v>
      </c>
      <c r="J73" s="42">
        <f>IFERROR(SUMPRODUCT(('Бюджет на запуск'!$D$73:$D$78)*('Бюджет на запуск'!J$73:J$78)*(('Бюджет на запуск'!$C$73:$C$78=Расчет!$D73)))/$E73,0)</f>
        <v>0</v>
      </c>
      <c r="K73" s="42">
        <f>IFERROR(SUMPRODUCT(('Бюджет на запуск'!$D$73:$D$78)*('Бюджет на запуск'!K$73:K$78)*(('Бюджет на запуск'!$C$73:$C$78=Расчет!$D73)))/$E73,0)</f>
        <v>0</v>
      </c>
      <c r="L73" s="42">
        <f>IFERROR(SUMPRODUCT(('Бюджет на запуск'!$D$73:$D$78)*('Бюджет на запуск'!L$73:L$78)*(('Бюджет на запуск'!$C$73:$C$78=Расчет!$D73)))/$E73,0)</f>
        <v>0</v>
      </c>
      <c r="M73" s="42">
        <f>IFERROR(SUMPRODUCT(('Бюджет на запуск'!$D$73:$D$78)*('Бюджет на запуск'!M$73:M$78)*(('Бюджет на запуск'!$C$73:$C$78=Расчет!$D73)))/$E73,0)</f>
        <v>0</v>
      </c>
      <c r="N73" s="42">
        <f>IFERROR(SUMPRODUCT(('Бюджет на запуск'!$D$73:$D$78)*('Бюджет на запуск'!N$73:N$78)*(('Бюджет на запуск'!$C$73:$C$78=Расчет!$D73)))/$E73,0)</f>
        <v>0</v>
      </c>
      <c r="O73" s="42">
        <f>IFERROR(SUMPRODUCT(('Бюджет на запуск'!$D$73:$D$78)*('Бюджет на запуск'!O$73:O$78)*(('Бюджет на запуск'!$C$73:$C$78=Расчет!$D73)))/$E73,0)</f>
        <v>0</v>
      </c>
      <c r="P73" s="42">
        <f>IFERROR(SUMPRODUCT(('Бюджет на запуск'!$D$73:$D$78)*('Бюджет на запуск'!P$73:P$78)*(('Бюджет на запуск'!$C$73:$C$78=Расчет!$D73)))/$E73,0)</f>
        <v>0</v>
      </c>
      <c r="Q73" s="42">
        <f>IFERROR(SUMPRODUCT(('Бюджет на запуск'!$D$73:$D$78)*('Бюджет на запуск'!Q$73:Q$78)*(('Бюджет на запуск'!$C$73:$C$78=Расчет!$D73)))/$E73,0)</f>
        <v>0</v>
      </c>
      <c r="R73" s="42">
        <f>IFERROR(SUMPRODUCT(('Бюджет на запуск'!$D$73:$D$78)*('Бюджет на запуск'!R$73:R$78)*(('Бюджет на запуск'!$C$73:$C$78=Расчет!$D73)))/$E73,0)</f>
        <v>0</v>
      </c>
      <c r="S73" s="42">
        <f>IFERROR(SUMPRODUCT(('Бюджет на запуск'!$D$73:$D$78)*('Бюджет на запуск'!S$73:S$78)*(('Бюджет на запуск'!$C$73:$C$78=Расчет!$D73)))/$E73,0)</f>
        <v>0</v>
      </c>
    </row>
    <row r="74" spans="1:19" s="2" customFormat="1" ht="16.5" x14ac:dyDescent="0.3">
      <c r="A74" s="223"/>
      <c r="B74" s="223"/>
      <c r="C74" s="200" t="str">
        <f t="shared" si="56"/>
        <v>Адаптация продукта в USD</v>
      </c>
      <c r="D74" s="229" t="str">
        <f>'Бюджет на запуск'!$J$3</f>
        <v>USD</v>
      </c>
      <c r="E74" s="230">
        <f>SUMIF('Бюджет на запуск'!$C$73:$C$78,Расчет!$D74,'Бюджет на запуск'!$D$73:$D$78)</f>
        <v>0</v>
      </c>
      <c r="F74" s="231">
        <f>IFERROR(SUMPRODUCT(('Бюджет на запуск'!$D$73:$D$78)*('Бюджет на запуск'!$E$73:$E$78)*(('Бюджет на запуск'!$C$73:$C$78=Расчет!$D74)))/$E74,0)</f>
        <v>0</v>
      </c>
      <c r="G74" s="232">
        <f t="shared" si="55"/>
        <v>1</v>
      </c>
      <c r="H74" s="42">
        <f>IFERROR(SUMPRODUCT(('Бюджет на запуск'!$D$73:$D$78)*('Бюджет на запуск'!H$73:H$78)*(('Бюджет на запуск'!$C$73:$C$78=Расчет!$D74)))/$E74,0)</f>
        <v>0</v>
      </c>
      <c r="I74" s="42">
        <f>IFERROR(SUMPRODUCT(('Бюджет на запуск'!$D$73:$D$78)*('Бюджет на запуск'!I$73:I$78)*(('Бюджет на запуск'!$C$73:$C$78=Расчет!$D74)))/$E74,0)</f>
        <v>0</v>
      </c>
      <c r="J74" s="42">
        <f>IFERROR(SUMPRODUCT(('Бюджет на запуск'!$D$73:$D$78)*('Бюджет на запуск'!J$73:J$78)*(('Бюджет на запуск'!$C$73:$C$78=Расчет!$D74)))/$E74,0)</f>
        <v>0</v>
      </c>
      <c r="K74" s="42">
        <f>IFERROR(SUMPRODUCT(('Бюджет на запуск'!$D$73:$D$78)*('Бюджет на запуск'!K$73:K$78)*(('Бюджет на запуск'!$C$73:$C$78=Расчет!$D74)))/$E74,0)</f>
        <v>0</v>
      </c>
      <c r="L74" s="42">
        <f>IFERROR(SUMPRODUCT(('Бюджет на запуск'!$D$73:$D$78)*('Бюджет на запуск'!L$73:L$78)*(('Бюджет на запуск'!$C$73:$C$78=Расчет!$D74)))/$E74,0)</f>
        <v>0</v>
      </c>
      <c r="M74" s="42">
        <f>IFERROR(SUMPRODUCT(('Бюджет на запуск'!$D$73:$D$78)*('Бюджет на запуск'!M$73:M$78)*(('Бюджет на запуск'!$C$73:$C$78=Расчет!$D74)))/$E74,0)</f>
        <v>0</v>
      </c>
      <c r="N74" s="42">
        <f>IFERROR(SUMPRODUCT(('Бюджет на запуск'!$D$73:$D$78)*('Бюджет на запуск'!N$73:N$78)*(('Бюджет на запуск'!$C$73:$C$78=Расчет!$D74)))/$E74,0)</f>
        <v>0</v>
      </c>
      <c r="O74" s="42">
        <f>IFERROR(SUMPRODUCT(('Бюджет на запуск'!$D$73:$D$78)*('Бюджет на запуск'!O$73:O$78)*(('Бюджет на запуск'!$C$73:$C$78=Расчет!$D74)))/$E74,0)</f>
        <v>0</v>
      </c>
      <c r="P74" s="42">
        <f>IFERROR(SUMPRODUCT(('Бюджет на запуск'!$D$73:$D$78)*('Бюджет на запуск'!P$73:P$78)*(('Бюджет на запуск'!$C$73:$C$78=Расчет!$D74)))/$E74,0)</f>
        <v>0</v>
      </c>
      <c r="Q74" s="42">
        <f>IFERROR(SUMPRODUCT(('Бюджет на запуск'!$D$73:$D$78)*('Бюджет на запуск'!Q$73:Q$78)*(('Бюджет на запуск'!$C$73:$C$78=Расчет!$D74)))/$E74,0)</f>
        <v>0</v>
      </c>
      <c r="R74" s="42">
        <f>IFERROR(SUMPRODUCT(('Бюджет на запуск'!$D$73:$D$78)*('Бюджет на запуск'!R$73:R$78)*(('Бюджет на запуск'!$C$73:$C$78=Расчет!$D74)))/$E74,0)</f>
        <v>0</v>
      </c>
      <c r="S74" s="42">
        <f>IFERROR(SUMPRODUCT(('Бюджет на запуск'!$D$73:$D$78)*('Бюджет на запуск'!S$73:S$78)*(('Бюджет на запуск'!$C$73:$C$78=Расчет!$D74)))/$E74,0)</f>
        <v>0</v>
      </c>
    </row>
    <row r="75" spans="1:19" s="2" customFormat="1" ht="16.5" x14ac:dyDescent="0.3">
      <c r="A75" s="223"/>
      <c r="B75" s="223"/>
      <c r="C75" s="200" t="str">
        <f t="shared" si="56"/>
        <v>Адаптация продукта в CNY</v>
      </c>
      <c r="D75" s="229" t="str">
        <f>'Бюджет на запуск'!$K$3</f>
        <v>CNY</v>
      </c>
      <c r="E75" s="230">
        <f>SUMIF('Бюджет на запуск'!$C$73:$C$78,Расчет!$D75,'Бюджет на запуск'!$D$73:$D$78)</f>
        <v>0</v>
      </c>
      <c r="F75" s="231">
        <f>IFERROR(SUMPRODUCT(('Бюджет на запуск'!$D$73:$D$78)*('Бюджет на запуск'!$E$73:$E$78)*(('Бюджет на запуск'!$C$73:$C$78=Расчет!$D75)))/$E75,0)</f>
        <v>0</v>
      </c>
      <c r="G75" s="232">
        <f t="shared" si="55"/>
        <v>1</v>
      </c>
      <c r="H75" s="42">
        <f>IFERROR(SUMPRODUCT(('Бюджет на запуск'!$D$73:$D$78)*('Бюджет на запуск'!H$73:H$78)*(('Бюджет на запуск'!$C$73:$C$78=Расчет!$D75)))/$E75,0)</f>
        <v>0</v>
      </c>
      <c r="I75" s="42">
        <f>IFERROR(SUMPRODUCT(('Бюджет на запуск'!$D$73:$D$78)*('Бюджет на запуск'!I$73:I$78)*(('Бюджет на запуск'!$C$73:$C$78=Расчет!$D75)))/$E75,0)</f>
        <v>0</v>
      </c>
      <c r="J75" s="42">
        <f>IFERROR(SUMPRODUCT(('Бюджет на запуск'!$D$73:$D$78)*('Бюджет на запуск'!J$73:J$78)*(('Бюджет на запуск'!$C$73:$C$78=Расчет!$D75)))/$E75,0)</f>
        <v>0</v>
      </c>
      <c r="K75" s="42">
        <f>IFERROR(SUMPRODUCT(('Бюджет на запуск'!$D$73:$D$78)*('Бюджет на запуск'!K$73:K$78)*(('Бюджет на запуск'!$C$73:$C$78=Расчет!$D75)))/$E75,0)</f>
        <v>0</v>
      </c>
      <c r="L75" s="42">
        <f>IFERROR(SUMPRODUCT(('Бюджет на запуск'!$D$73:$D$78)*('Бюджет на запуск'!L$73:L$78)*(('Бюджет на запуск'!$C$73:$C$78=Расчет!$D75)))/$E75,0)</f>
        <v>0</v>
      </c>
      <c r="M75" s="42">
        <f>IFERROR(SUMPRODUCT(('Бюджет на запуск'!$D$73:$D$78)*('Бюджет на запуск'!M$73:M$78)*(('Бюджет на запуск'!$C$73:$C$78=Расчет!$D75)))/$E75,0)</f>
        <v>0</v>
      </c>
      <c r="N75" s="42">
        <f>IFERROR(SUMPRODUCT(('Бюджет на запуск'!$D$73:$D$78)*('Бюджет на запуск'!N$73:N$78)*(('Бюджет на запуск'!$C$73:$C$78=Расчет!$D75)))/$E75,0)</f>
        <v>0</v>
      </c>
      <c r="O75" s="42">
        <f>IFERROR(SUMPRODUCT(('Бюджет на запуск'!$D$73:$D$78)*('Бюджет на запуск'!O$73:O$78)*(('Бюджет на запуск'!$C$73:$C$78=Расчет!$D75)))/$E75,0)</f>
        <v>0</v>
      </c>
      <c r="P75" s="42">
        <f>IFERROR(SUMPRODUCT(('Бюджет на запуск'!$D$73:$D$78)*('Бюджет на запуск'!P$73:P$78)*(('Бюджет на запуск'!$C$73:$C$78=Расчет!$D75)))/$E75,0)</f>
        <v>0</v>
      </c>
      <c r="Q75" s="42">
        <f>IFERROR(SUMPRODUCT(('Бюджет на запуск'!$D$73:$D$78)*('Бюджет на запуск'!Q$73:Q$78)*(('Бюджет на запуск'!$C$73:$C$78=Расчет!$D75)))/$E75,0)</f>
        <v>0</v>
      </c>
      <c r="R75" s="42">
        <f>IFERROR(SUMPRODUCT(('Бюджет на запуск'!$D$73:$D$78)*('Бюджет на запуск'!R$73:R$78)*(('Бюджет на запуск'!$C$73:$C$78=Расчет!$D75)))/$E75,0)</f>
        <v>0</v>
      </c>
      <c r="S75" s="42">
        <f>IFERROR(SUMPRODUCT(('Бюджет на запуск'!$D$73:$D$78)*('Бюджет на запуск'!S$73:S$78)*(('Бюджет на запуск'!$C$73:$C$78=Расчет!$D75)))/$E75,0)</f>
        <v>0</v>
      </c>
    </row>
    <row r="76" spans="1:19" s="2" customFormat="1" ht="16.5" x14ac:dyDescent="0.3">
      <c r="A76" s="223"/>
      <c r="B76" s="223"/>
      <c r="C76" s="200" t="str">
        <f>"Защита исключительных прав"&amp;" в "&amp;D76</f>
        <v>Защита исключительных прав в RUB</v>
      </c>
      <c r="D76" s="229" t="str">
        <f>'Бюджет на запуск'!$H$3</f>
        <v>RUB</v>
      </c>
      <c r="E76" s="230">
        <f>SUMIF('Бюджет на запуск'!$C$81:$C$93,Расчет!$D76,'Бюджет на запуск'!$D$81:$D$93)</f>
        <v>470000</v>
      </c>
      <c r="F76" s="231">
        <f>IFERROR(SUMPRODUCT(('Бюджет на запуск'!$D$81:$D$93)*('Бюджет на запуск'!$E$81:$E$93)*(('Бюджет на запуск'!$C$81:$C$93=Расчет!$D76)))/$E76,0)</f>
        <v>0.15319148936170213</v>
      </c>
      <c r="G76" s="232">
        <f t="shared" si="55"/>
        <v>1</v>
      </c>
      <c r="H76" s="42">
        <f>IFERROR(SUMPRODUCT(('Бюджет на запуск'!$D$81:$D$93)*('Бюджет на запуск'!H$81:H$93)*(('Бюджет на запуск'!$C$81:$C$93=Расчет!$D76)))/$E76,0)</f>
        <v>0.23404255319148937</v>
      </c>
      <c r="I76" s="42">
        <f>IFERROR(SUMPRODUCT(('Бюджет на запуск'!$D$81:$D$93)*('Бюджет на запуск'!I$81:I$93)*(('Бюджет на запуск'!$C$81:$C$93=Расчет!$D76)))/$E76,0)</f>
        <v>0.13297872340425532</v>
      </c>
      <c r="J76" s="42">
        <f>IFERROR(SUMPRODUCT(('Бюджет на запуск'!$D$81:$D$93)*('Бюджет на запуск'!J$81:J$93)*(('Бюджет на запуск'!$C$81:$C$93=Расчет!$D76)))/$E76,0)</f>
        <v>0.13297872340425532</v>
      </c>
      <c r="K76" s="42">
        <f>IFERROR(SUMPRODUCT(('Бюджет на запуск'!$D$81:$D$93)*('Бюджет на запуск'!K$81:K$93)*(('Бюджет на запуск'!$C$81:$C$93=Расчет!$D76)))/$E76,0)</f>
        <v>0.13297872340425532</v>
      </c>
      <c r="L76" s="42">
        <f>IFERROR(SUMPRODUCT(('Бюджет на запуск'!$D$81:$D$93)*('Бюджет на запуск'!L$81:L$93)*(('Бюджет на запуск'!$C$81:$C$93=Расчет!$D76)))/$E76,0)</f>
        <v>0.13297872340425532</v>
      </c>
      <c r="M76" s="42">
        <f>IFERROR(SUMPRODUCT(('Бюджет на запуск'!$D$81:$D$93)*('Бюджет на запуск'!M$81:M$93)*(('Бюджет на запуск'!$C$81:$C$93=Расчет!$D76)))/$E76,0)</f>
        <v>0.21276595744680851</v>
      </c>
      <c r="N76" s="42">
        <f>IFERROR(SUMPRODUCT(('Бюджет на запуск'!$D$81:$D$93)*('Бюджет на запуск'!N$81:N$93)*(('Бюджет на запуск'!$C$81:$C$93=Расчет!$D76)))/$E76,0)</f>
        <v>2.1276595744680851E-2</v>
      </c>
      <c r="O76" s="42">
        <f>IFERROR(SUMPRODUCT(('Бюджет на запуск'!$D$81:$D$93)*('Бюджет на запуск'!O$81:O$93)*(('Бюджет на запуск'!$C$81:$C$93=Расчет!$D76)))/$E76,0)</f>
        <v>0</v>
      </c>
      <c r="P76" s="42">
        <f>IFERROR(SUMPRODUCT(('Бюджет на запуск'!$D$81:$D$93)*('Бюджет на запуск'!P$81:P$93)*(('Бюджет на запуск'!$C$81:$C$93=Расчет!$D76)))/$E76,0)</f>
        <v>0</v>
      </c>
      <c r="Q76" s="42">
        <f>IFERROR(SUMPRODUCT(('Бюджет на запуск'!$D$81:$D$93)*('Бюджет на запуск'!Q$81:Q$93)*(('Бюджет на запуск'!$C$81:$C$93=Расчет!$D76)))/$E76,0)</f>
        <v>0</v>
      </c>
      <c r="R76" s="42">
        <f>IFERROR(SUMPRODUCT(('Бюджет на запуск'!$D$81:$D$93)*('Бюджет на запуск'!R$81:R$93)*(('Бюджет на запуск'!$C$81:$C$93=Расчет!$D76)))/$E76,0)</f>
        <v>0</v>
      </c>
      <c r="S76" s="42">
        <f>IFERROR(SUMPRODUCT(('Бюджет на запуск'!$D$81:$D$93)*('Бюджет на запуск'!S$81:S$93)*(('Бюджет на запуск'!$C$81:$C$93=Расчет!$D76)))/$E76,0)</f>
        <v>0</v>
      </c>
    </row>
    <row r="77" spans="1:19" s="2" customFormat="1" ht="16.5" x14ac:dyDescent="0.3">
      <c r="A77" s="223"/>
      <c r="B77" s="223"/>
      <c r="C77" s="200" t="str">
        <f>"Защита исключительных прав"&amp;" в "&amp;D77</f>
        <v>Защита исключительных прав в AED</v>
      </c>
      <c r="D77" s="229" t="str">
        <f>'Бюджет на запуск'!$I$3</f>
        <v>AED</v>
      </c>
      <c r="E77" s="230">
        <f>SUMIF('Бюджет на запуск'!$C$81:$C$93,Расчет!$D77,'Бюджет на запуск'!$D$81:$D$93)</f>
        <v>0</v>
      </c>
      <c r="F77" s="231">
        <f>IFERROR(SUMPRODUCT(('Бюджет на запуск'!$D$81:$D$93)*('Бюджет на запуск'!$E$81:$E$93)*(('Бюджет на запуск'!$C$81:$C$93=Расчет!$D77)))/$E77,0)</f>
        <v>0</v>
      </c>
      <c r="G77" s="232">
        <f t="shared" si="55"/>
        <v>1</v>
      </c>
      <c r="H77" s="42">
        <f>IFERROR(SUMPRODUCT(('Бюджет на запуск'!$D$81:$D$93)*('Бюджет на запуск'!H$81:H$93)*(('Бюджет на запуск'!$C$81:$C$93=Расчет!$D77)))/$E77,0)</f>
        <v>0</v>
      </c>
      <c r="I77" s="42">
        <f>IFERROR(SUMPRODUCT(('Бюджет на запуск'!$D$81:$D$93)*('Бюджет на запуск'!I$81:I$93)*(('Бюджет на запуск'!$C$81:$C$93=Расчет!$D77)))/$E77,0)</f>
        <v>0</v>
      </c>
      <c r="J77" s="42">
        <f>IFERROR(SUMPRODUCT(('Бюджет на запуск'!$D$81:$D$93)*('Бюджет на запуск'!J$81:J$93)*(('Бюджет на запуск'!$C$81:$C$93=Расчет!$D77)))/$E77,0)</f>
        <v>0</v>
      </c>
      <c r="K77" s="42">
        <f>IFERROR(SUMPRODUCT(('Бюджет на запуск'!$D$81:$D$93)*('Бюджет на запуск'!K$81:K$93)*(('Бюджет на запуск'!$C$81:$C$93=Расчет!$D77)))/$E77,0)</f>
        <v>0</v>
      </c>
      <c r="L77" s="42">
        <f>IFERROR(SUMPRODUCT(('Бюджет на запуск'!$D$81:$D$93)*('Бюджет на запуск'!L$81:L$93)*(('Бюджет на запуск'!$C$81:$C$93=Расчет!$D77)))/$E77,0)</f>
        <v>0</v>
      </c>
      <c r="M77" s="42">
        <f>IFERROR(SUMPRODUCT(('Бюджет на запуск'!$D$81:$D$93)*('Бюджет на запуск'!M$81:M$93)*(('Бюджет на запуск'!$C$81:$C$93=Расчет!$D77)))/$E77,0)</f>
        <v>0</v>
      </c>
      <c r="N77" s="42">
        <f>IFERROR(SUMPRODUCT(('Бюджет на запуск'!$D$81:$D$93)*('Бюджет на запуск'!N$81:N$93)*(('Бюджет на запуск'!$C$81:$C$93=Расчет!$D77)))/$E77,0)</f>
        <v>0</v>
      </c>
      <c r="O77" s="42">
        <f>IFERROR(SUMPRODUCT(('Бюджет на запуск'!$D$81:$D$93)*('Бюджет на запуск'!O$81:O$93)*(('Бюджет на запуск'!$C$81:$C$93=Расчет!$D77)))/$E77,0)</f>
        <v>0</v>
      </c>
      <c r="P77" s="42">
        <f>IFERROR(SUMPRODUCT(('Бюджет на запуск'!$D$81:$D$93)*('Бюджет на запуск'!P$81:P$93)*(('Бюджет на запуск'!$C$81:$C$93=Расчет!$D77)))/$E77,0)</f>
        <v>0</v>
      </c>
      <c r="Q77" s="42">
        <f>IFERROR(SUMPRODUCT(('Бюджет на запуск'!$D$81:$D$93)*('Бюджет на запуск'!Q$81:Q$93)*(('Бюджет на запуск'!$C$81:$C$93=Расчет!$D77)))/$E77,0)</f>
        <v>0</v>
      </c>
      <c r="R77" s="42">
        <f>IFERROR(SUMPRODUCT(('Бюджет на запуск'!$D$81:$D$93)*('Бюджет на запуск'!R$81:R$93)*(('Бюджет на запуск'!$C$81:$C$93=Расчет!$D77)))/$E77,0)</f>
        <v>0</v>
      </c>
      <c r="S77" s="42">
        <f>IFERROR(SUMPRODUCT(('Бюджет на запуск'!$D$81:$D$93)*('Бюджет на запуск'!S$81:S$93)*(('Бюджет на запуск'!$C$81:$C$93=Расчет!$D77)))/$E77,0)</f>
        <v>0</v>
      </c>
    </row>
    <row r="78" spans="1:19" s="2" customFormat="1" ht="16.5" x14ac:dyDescent="0.3">
      <c r="A78" s="223"/>
      <c r="B78" s="223"/>
      <c r="C78" s="200" t="str">
        <f>"Защита исключительных прав"&amp;" в "&amp;D78</f>
        <v>Защита исключительных прав в USD</v>
      </c>
      <c r="D78" s="229" t="str">
        <f>'Бюджет на запуск'!$J$3</f>
        <v>USD</v>
      </c>
      <c r="E78" s="230">
        <f>SUMIF('Бюджет на запуск'!$C$81:$C$93,Расчет!$D78,'Бюджет на запуск'!$D$81:$D$93)</f>
        <v>0</v>
      </c>
      <c r="F78" s="231">
        <f>IFERROR(SUMPRODUCT(('Бюджет на запуск'!$D$81:$D$93)*('Бюджет на запуск'!$E$81:$E$93)*(('Бюджет на запуск'!$C$81:$C$93=Расчет!$D78)))/$E78,0)</f>
        <v>0</v>
      </c>
      <c r="G78" s="232">
        <f t="shared" si="55"/>
        <v>1</v>
      </c>
      <c r="H78" s="42">
        <f>IFERROR(SUMPRODUCT(('Бюджет на запуск'!$D$81:$D$93)*('Бюджет на запуск'!H$81:H$93)*(('Бюджет на запуск'!$C$81:$C$93=Расчет!$D78)))/$E78,0)</f>
        <v>0</v>
      </c>
      <c r="I78" s="42">
        <f>IFERROR(SUMPRODUCT(('Бюджет на запуск'!$D$81:$D$93)*('Бюджет на запуск'!I$81:I$93)*(('Бюджет на запуск'!$C$81:$C$93=Расчет!$D78)))/$E78,0)</f>
        <v>0</v>
      </c>
      <c r="J78" s="42">
        <f>IFERROR(SUMPRODUCT(('Бюджет на запуск'!$D$81:$D$93)*('Бюджет на запуск'!J$81:J$93)*(('Бюджет на запуск'!$C$81:$C$93=Расчет!$D78)))/$E78,0)</f>
        <v>0</v>
      </c>
      <c r="K78" s="42">
        <f>IFERROR(SUMPRODUCT(('Бюджет на запуск'!$D$81:$D$93)*('Бюджет на запуск'!K$81:K$93)*(('Бюджет на запуск'!$C$81:$C$93=Расчет!$D78)))/$E78,0)</f>
        <v>0</v>
      </c>
      <c r="L78" s="42">
        <f>IFERROR(SUMPRODUCT(('Бюджет на запуск'!$D$81:$D$93)*('Бюджет на запуск'!L$81:L$93)*(('Бюджет на запуск'!$C$81:$C$93=Расчет!$D78)))/$E78,0)</f>
        <v>0</v>
      </c>
      <c r="M78" s="42">
        <f>IFERROR(SUMPRODUCT(('Бюджет на запуск'!$D$81:$D$93)*('Бюджет на запуск'!M$81:M$93)*(('Бюджет на запуск'!$C$81:$C$93=Расчет!$D78)))/$E78,0)</f>
        <v>0</v>
      </c>
      <c r="N78" s="42">
        <f>IFERROR(SUMPRODUCT(('Бюджет на запуск'!$D$81:$D$93)*('Бюджет на запуск'!N$81:N$93)*(('Бюджет на запуск'!$C$81:$C$93=Расчет!$D78)))/$E78,0)</f>
        <v>0</v>
      </c>
      <c r="O78" s="42">
        <f>IFERROR(SUMPRODUCT(('Бюджет на запуск'!$D$81:$D$93)*('Бюджет на запуск'!O$81:O$93)*(('Бюджет на запуск'!$C$81:$C$93=Расчет!$D78)))/$E78,0)</f>
        <v>0</v>
      </c>
      <c r="P78" s="42">
        <f>IFERROR(SUMPRODUCT(('Бюджет на запуск'!$D$81:$D$93)*('Бюджет на запуск'!P$81:P$93)*(('Бюджет на запуск'!$C$81:$C$93=Расчет!$D78)))/$E78,0)</f>
        <v>0</v>
      </c>
      <c r="Q78" s="42">
        <f>IFERROR(SUMPRODUCT(('Бюджет на запуск'!$D$81:$D$93)*('Бюджет на запуск'!Q$81:Q$93)*(('Бюджет на запуск'!$C$81:$C$93=Расчет!$D78)))/$E78,0)</f>
        <v>0</v>
      </c>
      <c r="R78" s="42">
        <f>IFERROR(SUMPRODUCT(('Бюджет на запуск'!$D$81:$D$93)*('Бюджет на запуск'!R$81:R$93)*(('Бюджет на запуск'!$C$81:$C$93=Расчет!$D78)))/$E78,0)</f>
        <v>0</v>
      </c>
      <c r="S78" s="42">
        <f>IFERROR(SUMPRODUCT(('Бюджет на запуск'!$D$81:$D$93)*('Бюджет на запуск'!S$81:S$93)*(('Бюджет на запуск'!$C$81:$C$93=Расчет!$D78)))/$E78,0)</f>
        <v>0</v>
      </c>
    </row>
    <row r="79" spans="1:19" s="2" customFormat="1" ht="16.5" x14ac:dyDescent="0.3">
      <c r="A79" s="223"/>
      <c r="B79" s="223"/>
      <c r="C79" s="200" t="str">
        <f>"Защита исключительных прав"&amp;" в "&amp;D79</f>
        <v>Защита исключительных прав в CNY</v>
      </c>
      <c r="D79" s="229" t="str">
        <f>'Бюджет на запуск'!$K$3</f>
        <v>CNY</v>
      </c>
      <c r="E79" s="230">
        <f>SUMIF('Бюджет на запуск'!$C$81:$C$93,Расчет!$D79,'Бюджет на запуск'!$D$81:$D$93)</f>
        <v>0</v>
      </c>
      <c r="F79" s="231">
        <f>IFERROR(SUMPRODUCT(('Бюджет на запуск'!$D$81:$D$93)*('Бюджет на запуск'!$E$81:$E$93)*(('Бюджет на запуск'!$C$81:$C$93=Расчет!$D79)))/$E79,0)</f>
        <v>0</v>
      </c>
      <c r="G79" s="232">
        <f t="shared" si="55"/>
        <v>1</v>
      </c>
      <c r="H79" s="42">
        <f>IFERROR(SUMPRODUCT(('Бюджет на запуск'!$D$81:$D$93)*('Бюджет на запуск'!H$81:H$93)*(('Бюджет на запуск'!$C$81:$C$93=Расчет!$D79)))/$E79,0)</f>
        <v>0</v>
      </c>
      <c r="I79" s="42">
        <f>IFERROR(SUMPRODUCT(('Бюджет на запуск'!$D$81:$D$93)*('Бюджет на запуск'!I$81:I$93)*(('Бюджет на запуск'!$C$81:$C$93=Расчет!$D79)))/$E79,0)</f>
        <v>0</v>
      </c>
      <c r="J79" s="42">
        <f>IFERROR(SUMPRODUCT(('Бюджет на запуск'!$D$81:$D$93)*('Бюджет на запуск'!J$81:J$93)*(('Бюджет на запуск'!$C$81:$C$93=Расчет!$D79)))/$E79,0)</f>
        <v>0</v>
      </c>
      <c r="K79" s="42">
        <f>IFERROR(SUMPRODUCT(('Бюджет на запуск'!$D$81:$D$93)*('Бюджет на запуск'!K$81:K$93)*(('Бюджет на запуск'!$C$81:$C$93=Расчет!$D79)))/$E79,0)</f>
        <v>0</v>
      </c>
      <c r="L79" s="42">
        <f>IFERROR(SUMPRODUCT(('Бюджет на запуск'!$D$81:$D$93)*('Бюджет на запуск'!L$81:L$93)*(('Бюджет на запуск'!$C$81:$C$93=Расчет!$D79)))/$E79,0)</f>
        <v>0</v>
      </c>
      <c r="M79" s="42">
        <f>IFERROR(SUMPRODUCT(('Бюджет на запуск'!$D$81:$D$93)*('Бюджет на запуск'!M$81:M$93)*(('Бюджет на запуск'!$C$81:$C$93=Расчет!$D79)))/$E79,0)</f>
        <v>0</v>
      </c>
      <c r="N79" s="42">
        <f>IFERROR(SUMPRODUCT(('Бюджет на запуск'!$D$81:$D$93)*('Бюджет на запуск'!N$81:N$93)*(('Бюджет на запуск'!$C$81:$C$93=Расчет!$D79)))/$E79,0)</f>
        <v>0</v>
      </c>
      <c r="O79" s="42">
        <f>IFERROR(SUMPRODUCT(('Бюджет на запуск'!$D$81:$D$93)*('Бюджет на запуск'!O$81:O$93)*(('Бюджет на запуск'!$C$81:$C$93=Расчет!$D79)))/$E79,0)</f>
        <v>0</v>
      </c>
      <c r="P79" s="42">
        <f>IFERROR(SUMPRODUCT(('Бюджет на запуск'!$D$81:$D$93)*('Бюджет на запуск'!P$81:P$93)*(('Бюджет на запуск'!$C$81:$C$93=Расчет!$D79)))/$E79,0)</f>
        <v>0</v>
      </c>
      <c r="Q79" s="42">
        <f>IFERROR(SUMPRODUCT(('Бюджет на запуск'!$D$81:$D$93)*('Бюджет на запуск'!Q$81:Q$93)*(('Бюджет на запуск'!$C$81:$C$93=Расчет!$D79)))/$E79,0)</f>
        <v>0</v>
      </c>
      <c r="R79" s="42">
        <f>IFERROR(SUMPRODUCT(('Бюджет на запуск'!$D$81:$D$93)*('Бюджет на запуск'!R$81:R$93)*(('Бюджет на запуск'!$C$81:$C$93=Расчет!$D79)))/$E79,0)</f>
        <v>0</v>
      </c>
      <c r="S79" s="42">
        <f>IFERROR(SUMPRODUCT(('Бюджет на запуск'!$D$81:$D$93)*('Бюджет на запуск'!S$81:S$93)*(('Бюджет на запуск'!$C$81:$C$93=Расчет!$D79)))/$E79,0)</f>
        <v>0</v>
      </c>
    </row>
    <row r="80" spans="1:19" s="2" customFormat="1" ht="16.5" x14ac:dyDescent="0.3">
      <c r="A80" s="223"/>
      <c r="B80" s="223"/>
      <c r="C80" s="200" t="str">
        <f>"Сертификация продукта"&amp;" в "&amp;D80</f>
        <v>Сертификация продукта в RUB</v>
      </c>
      <c r="D80" s="229" t="str">
        <f>'Бюджет на запуск'!$H$3</f>
        <v>RUB</v>
      </c>
      <c r="E80" s="230">
        <f>SUMIF('Бюджет на запуск'!$C$96:$C$102,Расчет!$D80,'Бюджет на запуск'!$D$96:$D$102)</f>
        <v>150000</v>
      </c>
      <c r="F80" s="231">
        <f>IFERROR(SUMPRODUCT(('Бюджет на запуск'!$D$96:$D$102)*('Бюджет на запуск'!$E$96:$E$102)*(('Бюджет на запуск'!$C$96:$C$102=Расчет!$D80)))/$E80,0)</f>
        <v>0.2</v>
      </c>
      <c r="G80" s="232">
        <f t="shared" si="55"/>
        <v>1</v>
      </c>
      <c r="H80" s="42">
        <f>IFERROR(SUMPRODUCT(('Бюджет на запуск'!$D$96:$D$102)*('Бюджет на запуск'!H$96:H$102)*(('Бюджет на запуск'!$C$96:$C$102=Расчет!$D80)))/$E80,0)</f>
        <v>0</v>
      </c>
      <c r="I80" s="42">
        <f>IFERROR(SUMPRODUCT(('Бюджет на запуск'!$D$96:$D$102)*('Бюджет на запуск'!I$96:I$102)*(('Бюджет на запуск'!$C$96:$C$102=Расчет!$D80)))/$E80,0)</f>
        <v>0</v>
      </c>
      <c r="J80" s="42">
        <f>IFERROR(SUMPRODUCT(('Бюджет на запуск'!$D$96:$D$102)*('Бюджет на запуск'!J$96:J$102)*(('Бюджет на запуск'!$C$96:$C$102=Расчет!$D80)))/$E80,0)</f>
        <v>0</v>
      </c>
      <c r="K80" s="42">
        <f>IFERROR(SUMPRODUCT(('Бюджет на запуск'!$D$96:$D$102)*('Бюджет на запуск'!K$96:K$102)*(('Бюджет на запуск'!$C$96:$C$102=Расчет!$D80)))/$E80,0)</f>
        <v>0</v>
      </c>
      <c r="L80" s="42">
        <f>IFERROR(SUMPRODUCT(('Бюджет на запуск'!$D$96:$D$102)*('Бюджет на запуск'!L$96:L$102)*(('Бюджет на запуск'!$C$96:$C$102=Расчет!$D80)))/$E80,0)</f>
        <v>0.5</v>
      </c>
      <c r="M80" s="42">
        <f>IFERROR(SUMPRODUCT(('Бюджет на запуск'!$D$96:$D$102)*('Бюджет на запуск'!M$96:M$102)*(('Бюджет на запуск'!$C$96:$C$102=Расчет!$D80)))/$E80,0)</f>
        <v>0.5</v>
      </c>
      <c r="N80" s="42">
        <f>IFERROR(SUMPRODUCT(('Бюджет на запуск'!$D$96:$D$102)*('Бюджет на запуск'!N$96:N$102)*(('Бюджет на запуск'!$C$96:$C$102=Расчет!$D80)))/$E80,0)</f>
        <v>0</v>
      </c>
      <c r="O80" s="42">
        <f>IFERROR(SUMPRODUCT(('Бюджет на запуск'!$D$96:$D$102)*('Бюджет на запуск'!O$96:O$102)*(('Бюджет на запуск'!$C$96:$C$102=Расчет!$D80)))/$E80,0)</f>
        <v>0</v>
      </c>
      <c r="P80" s="42">
        <f>IFERROR(SUMPRODUCT(('Бюджет на запуск'!$D$96:$D$102)*('Бюджет на запуск'!P$96:P$102)*(('Бюджет на запуск'!$C$96:$C$102=Расчет!$D80)))/$E80,0)</f>
        <v>0</v>
      </c>
      <c r="Q80" s="42">
        <f>IFERROR(SUMPRODUCT(('Бюджет на запуск'!$D$96:$D$102)*('Бюджет на запуск'!Q$96:Q$102)*(('Бюджет на запуск'!$C$96:$C$102=Расчет!$D80)))/$E80,0)</f>
        <v>0</v>
      </c>
      <c r="R80" s="42">
        <f>IFERROR(SUMPRODUCT(('Бюджет на запуск'!$D$96:$D$102)*('Бюджет на запуск'!R$96:R$102)*(('Бюджет на запуск'!$C$96:$C$102=Расчет!$D80)))/$E80,0)</f>
        <v>0</v>
      </c>
      <c r="S80" s="42">
        <f>IFERROR(SUMPRODUCT(('Бюджет на запуск'!$D$96:$D$102)*('Бюджет на запуск'!S$96:S$102)*(('Бюджет на запуск'!$C$96:$C$102=Расчет!$D80)))/$E80,0)</f>
        <v>0</v>
      </c>
    </row>
    <row r="81" spans="1:19" s="2" customFormat="1" ht="16.5" x14ac:dyDescent="0.3">
      <c r="A81" s="223"/>
      <c r="B81" s="223"/>
      <c r="C81" s="200" t="str">
        <f>"Сертификация продукта"&amp;" в "&amp;D81</f>
        <v>Сертификация продукта в AED</v>
      </c>
      <c r="D81" s="229" t="str">
        <f>'Бюджет на запуск'!$I$3</f>
        <v>AED</v>
      </c>
      <c r="E81" s="230">
        <f>SUMIF('Бюджет на запуск'!$C$96:$C$102,Расчет!$D81,'Бюджет на запуск'!$D$96:$D$102)</f>
        <v>0</v>
      </c>
      <c r="F81" s="231">
        <f>IFERROR(SUMPRODUCT(('Бюджет на запуск'!$D$96:$D$102)*('Бюджет на запуск'!$E$96:$E$102)*(('Бюджет на запуск'!$C$96:$C$102=Расчет!$D81)))/$E81,0)</f>
        <v>0</v>
      </c>
      <c r="G81" s="232">
        <f t="shared" si="55"/>
        <v>1</v>
      </c>
      <c r="H81" s="42">
        <f>IFERROR(SUMPRODUCT(('Бюджет на запуск'!$D$96:$D$102)*('Бюджет на запуск'!H$96:H$102)*(('Бюджет на запуск'!$C$96:$C$102=Расчет!$D81)))/$E81,0)</f>
        <v>0</v>
      </c>
      <c r="I81" s="42">
        <f>IFERROR(SUMPRODUCT(('Бюджет на запуск'!$D$96:$D$102)*('Бюджет на запуск'!I$96:I$102)*(('Бюджет на запуск'!$C$96:$C$102=Расчет!$D81)))/$E81,0)</f>
        <v>0</v>
      </c>
      <c r="J81" s="42">
        <f>IFERROR(SUMPRODUCT(('Бюджет на запуск'!$D$96:$D$102)*('Бюджет на запуск'!J$96:J$102)*(('Бюджет на запуск'!$C$96:$C$102=Расчет!$D81)))/$E81,0)</f>
        <v>0</v>
      </c>
      <c r="K81" s="42">
        <f>IFERROR(SUMPRODUCT(('Бюджет на запуск'!$D$96:$D$102)*('Бюджет на запуск'!K$96:K$102)*(('Бюджет на запуск'!$C$96:$C$102=Расчет!$D81)))/$E81,0)</f>
        <v>0</v>
      </c>
      <c r="L81" s="42">
        <f>IFERROR(SUMPRODUCT(('Бюджет на запуск'!$D$96:$D$102)*('Бюджет на запуск'!L$96:L$102)*(('Бюджет на запуск'!$C$96:$C$102=Расчет!$D81)))/$E81,0)</f>
        <v>0</v>
      </c>
      <c r="M81" s="42">
        <f>IFERROR(SUMPRODUCT(('Бюджет на запуск'!$D$96:$D$102)*('Бюджет на запуск'!M$96:M$102)*(('Бюджет на запуск'!$C$96:$C$102=Расчет!$D81)))/$E81,0)</f>
        <v>0</v>
      </c>
      <c r="N81" s="42">
        <f>IFERROR(SUMPRODUCT(('Бюджет на запуск'!$D$96:$D$102)*('Бюджет на запуск'!N$96:N$102)*(('Бюджет на запуск'!$C$96:$C$102=Расчет!$D81)))/$E81,0)</f>
        <v>0</v>
      </c>
      <c r="O81" s="42">
        <f>IFERROR(SUMPRODUCT(('Бюджет на запуск'!$D$96:$D$102)*('Бюджет на запуск'!O$96:O$102)*(('Бюджет на запуск'!$C$96:$C$102=Расчет!$D81)))/$E81,0)</f>
        <v>0</v>
      </c>
      <c r="P81" s="42">
        <f>IFERROR(SUMPRODUCT(('Бюджет на запуск'!$D$96:$D$102)*('Бюджет на запуск'!P$96:P$102)*(('Бюджет на запуск'!$C$96:$C$102=Расчет!$D81)))/$E81,0)</f>
        <v>0</v>
      </c>
      <c r="Q81" s="42">
        <f>IFERROR(SUMPRODUCT(('Бюджет на запуск'!$D$96:$D$102)*('Бюджет на запуск'!Q$96:Q$102)*(('Бюджет на запуск'!$C$96:$C$102=Расчет!$D81)))/$E81,0)</f>
        <v>0</v>
      </c>
      <c r="R81" s="42">
        <f>IFERROR(SUMPRODUCT(('Бюджет на запуск'!$D$96:$D$102)*('Бюджет на запуск'!R$96:R$102)*(('Бюджет на запуск'!$C$96:$C$102=Расчет!$D81)))/$E81,0)</f>
        <v>0</v>
      </c>
      <c r="S81" s="42">
        <f>IFERROR(SUMPRODUCT(('Бюджет на запуск'!$D$96:$D$102)*('Бюджет на запуск'!S$96:S$102)*(('Бюджет на запуск'!$C$96:$C$102=Расчет!$D81)))/$E81,0)</f>
        <v>0</v>
      </c>
    </row>
    <row r="82" spans="1:19" s="2" customFormat="1" ht="16.5" x14ac:dyDescent="0.3">
      <c r="A82" s="223"/>
      <c r="B82" s="223"/>
      <c r="C82" s="200" t="str">
        <f>"Сертификация продукта"&amp;" в "&amp;D82</f>
        <v>Сертификация продукта в USD</v>
      </c>
      <c r="D82" s="229" t="str">
        <f>'Бюджет на запуск'!$J$3</f>
        <v>USD</v>
      </c>
      <c r="E82" s="230">
        <f>SUMIF('Бюджет на запуск'!$C$96:$C$102,Расчет!$D82,'Бюджет на запуск'!$D$96:$D$102)</f>
        <v>0</v>
      </c>
      <c r="F82" s="231">
        <f>IFERROR(SUMPRODUCT(('Бюджет на запуск'!$D$96:$D$102)*('Бюджет на запуск'!$E$96:$E$102)*(('Бюджет на запуск'!$C$96:$C$102=Расчет!$D82)))/$E82,0)</f>
        <v>0</v>
      </c>
      <c r="G82" s="232">
        <f t="shared" si="55"/>
        <v>1</v>
      </c>
      <c r="H82" s="42">
        <f>IFERROR(SUMPRODUCT(('Бюджет на запуск'!$D$96:$D$102)*('Бюджет на запуск'!H$96:H$102)*(('Бюджет на запуск'!$C$96:$C$102=Расчет!$D82)))/$E82,0)</f>
        <v>0</v>
      </c>
      <c r="I82" s="42">
        <f>IFERROR(SUMPRODUCT(('Бюджет на запуск'!$D$96:$D$102)*('Бюджет на запуск'!I$96:I$102)*(('Бюджет на запуск'!$C$96:$C$102=Расчет!$D82)))/$E82,0)</f>
        <v>0</v>
      </c>
      <c r="J82" s="42">
        <f>IFERROR(SUMPRODUCT(('Бюджет на запуск'!$D$96:$D$102)*('Бюджет на запуск'!J$96:J$102)*(('Бюджет на запуск'!$C$96:$C$102=Расчет!$D82)))/$E82,0)</f>
        <v>0</v>
      </c>
      <c r="K82" s="42">
        <f>IFERROR(SUMPRODUCT(('Бюджет на запуск'!$D$96:$D$102)*('Бюджет на запуск'!K$96:K$102)*(('Бюджет на запуск'!$C$96:$C$102=Расчет!$D82)))/$E82,0)</f>
        <v>0</v>
      </c>
      <c r="L82" s="42">
        <f>IFERROR(SUMPRODUCT(('Бюджет на запуск'!$D$96:$D$102)*('Бюджет на запуск'!L$96:L$102)*(('Бюджет на запуск'!$C$96:$C$102=Расчет!$D82)))/$E82,0)</f>
        <v>0</v>
      </c>
      <c r="M82" s="42">
        <f>IFERROR(SUMPRODUCT(('Бюджет на запуск'!$D$96:$D$102)*('Бюджет на запуск'!M$96:M$102)*(('Бюджет на запуск'!$C$96:$C$102=Расчет!$D82)))/$E82,0)</f>
        <v>0</v>
      </c>
      <c r="N82" s="42">
        <f>IFERROR(SUMPRODUCT(('Бюджет на запуск'!$D$96:$D$102)*('Бюджет на запуск'!N$96:N$102)*(('Бюджет на запуск'!$C$96:$C$102=Расчет!$D82)))/$E82,0)</f>
        <v>0</v>
      </c>
      <c r="O82" s="42">
        <f>IFERROR(SUMPRODUCT(('Бюджет на запуск'!$D$96:$D$102)*('Бюджет на запуск'!O$96:O$102)*(('Бюджет на запуск'!$C$96:$C$102=Расчет!$D82)))/$E82,0)</f>
        <v>0</v>
      </c>
      <c r="P82" s="42">
        <f>IFERROR(SUMPRODUCT(('Бюджет на запуск'!$D$96:$D$102)*('Бюджет на запуск'!P$96:P$102)*(('Бюджет на запуск'!$C$96:$C$102=Расчет!$D82)))/$E82,0)</f>
        <v>0</v>
      </c>
      <c r="Q82" s="42">
        <f>IFERROR(SUMPRODUCT(('Бюджет на запуск'!$D$96:$D$102)*('Бюджет на запуск'!Q$96:Q$102)*(('Бюджет на запуск'!$C$96:$C$102=Расчет!$D82)))/$E82,0)</f>
        <v>0</v>
      </c>
      <c r="R82" s="42">
        <f>IFERROR(SUMPRODUCT(('Бюджет на запуск'!$D$96:$D$102)*('Бюджет на запуск'!R$96:R$102)*(('Бюджет на запуск'!$C$96:$C$102=Расчет!$D82)))/$E82,0)</f>
        <v>0</v>
      </c>
      <c r="S82" s="42">
        <f>IFERROR(SUMPRODUCT(('Бюджет на запуск'!$D$96:$D$102)*('Бюджет на запуск'!S$96:S$102)*(('Бюджет на запуск'!$C$96:$C$102=Расчет!$D82)))/$E82,0)</f>
        <v>0</v>
      </c>
    </row>
    <row r="83" spans="1:19" s="2" customFormat="1" ht="16.5" x14ac:dyDescent="0.3">
      <c r="A83" s="223"/>
      <c r="B83" s="223"/>
      <c r="C83" s="200" t="str">
        <f>"Сертификация продукта"&amp;" в "&amp;D83</f>
        <v>Сертификация продукта в CNY</v>
      </c>
      <c r="D83" s="229" t="str">
        <f>'Бюджет на запуск'!$K$3</f>
        <v>CNY</v>
      </c>
      <c r="E83" s="230">
        <f>SUMIF('Бюджет на запуск'!$C$96:$C$102,Расчет!$D83,'Бюджет на запуск'!$D$96:$D$102)</f>
        <v>0</v>
      </c>
      <c r="F83" s="231">
        <f>IFERROR(SUMPRODUCT(('Бюджет на запуск'!$D$96:$D$102)*('Бюджет на запуск'!$E$96:$E$102)*(('Бюджет на запуск'!$C$96:$C$102=Расчет!$D83)))/$E83,0)</f>
        <v>0</v>
      </c>
      <c r="G83" s="232">
        <f t="shared" si="55"/>
        <v>1</v>
      </c>
      <c r="H83" s="42">
        <f>IFERROR(SUMPRODUCT(('Бюджет на запуск'!$D$96:$D$102)*('Бюджет на запуск'!H$96:H$102)*(('Бюджет на запуск'!$C$96:$C$102=Расчет!$D83)))/$E83,0)</f>
        <v>0</v>
      </c>
      <c r="I83" s="42">
        <f>IFERROR(SUMPRODUCT(('Бюджет на запуск'!$D$96:$D$102)*('Бюджет на запуск'!I$96:I$102)*(('Бюджет на запуск'!$C$96:$C$102=Расчет!$D83)))/$E83,0)</f>
        <v>0</v>
      </c>
      <c r="J83" s="42">
        <f>IFERROR(SUMPRODUCT(('Бюджет на запуск'!$D$96:$D$102)*('Бюджет на запуск'!J$96:J$102)*(('Бюджет на запуск'!$C$96:$C$102=Расчет!$D83)))/$E83,0)</f>
        <v>0</v>
      </c>
      <c r="K83" s="42">
        <f>IFERROR(SUMPRODUCT(('Бюджет на запуск'!$D$96:$D$102)*('Бюджет на запуск'!K$96:K$102)*(('Бюджет на запуск'!$C$96:$C$102=Расчет!$D83)))/$E83,0)</f>
        <v>0</v>
      </c>
      <c r="L83" s="42">
        <f>IFERROR(SUMPRODUCT(('Бюджет на запуск'!$D$96:$D$102)*('Бюджет на запуск'!L$96:L$102)*(('Бюджет на запуск'!$C$96:$C$102=Расчет!$D83)))/$E83,0)</f>
        <v>0</v>
      </c>
      <c r="M83" s="42">
        <f>IFERROR(SUMPRODUCT(('Бюджет на запуск'!$D$96:$D$102)*('Бюджет на запуск'!M$96:M$102)*(('Бюджет на запуск'!$C$96:$C$102=Расчет!$D83)))/$E83,0)</f>
        <v>0</v>
      </c>
      <c r="N83" s="42">
        <f>IFERROR(SUMPRODUCT(('Бюджет на запуск'!$D$96:$D$102)*('Бюджет на запуск'!N$96:N$102)*(('Бюджет на запуск'!$C$96:$C$102=Расчет!$D83)))/$E83,0)</f>
        <v>0</v>
      </c>
      <c r="O83" s="42">
        <f>IFERROR(SUMPRODUCT(('Бюджет на запуск'!$D$96:$D$102)*('Бюджет на запуск'!O$96:O$102)*(('Бюджет на запуск'!$C$96:$C$102=Расчет!$D83)))/$E83,0)</f>
        <v>0</v>
      </c>
      <c r="P83" s="42">
        <f>IFERROR(SUMPRODUCT(('Бюджет на запуск'!$D$96:$D$102)*('Бюджет на запуск'!P$96:P$102)*(('Бюджет на запуск'!$C$96:$C$102=Расчет!$D83)))/$E83,0)</f>
        <v>0</v>
      </c>
      <c r="Q83" s="42">
        <f>IFERROR(SUMPRODUCT(('Бюджет на запуск'!$D$96:$D$102)*('Бюджет на запуск'!Q$96:Q$102)*(('Бюджет на запуск'!$C$96:$C$102=Расчет!$D83)))/$E83,0)</f>
        <v>0</v>
      </c>
      <c r="R83" s="42">
        <f>IFERROR(SUMPRODUCT(('Бюджет на запуск'!$D$96:$D$102)*('Бюджет на запуск'!R$96:R$102)*(('Бюджет на запуск'!$C$96:$C$102=Расчет!$D83)))/$E83,0)</f>
        <v>0</v>
      </c>
      <c r="S83" s="42">
        <f>IFERROR(SUMPRODUCT(('Бюджет на запуск'!$D$96:$D$102)*('Бюджет на запуск'!S$96:S$102)*(('Бюджет на запуск'!$C$96:$C$102=Расчет!$D83)))/$E83,0)</f>
        <v>0</v>
      </c>
    </row>
    <row r="84" spans="1:19" s="2" customFormat="1" ht="16.5" x14ac:dyDescent="0.3">
      <c r="A84" s="223"/>
      <c r="B84" s="223"/>
      <c r="C84" s="200" t="str">
        <f>"Участие в выставках, конференциях, бизнес-миссиях"&amp;" в "&amp;D84</f>
        <v>Участие в выставках, конференциях, бизнес-миссиях в RUB</v>
      </c>
      <c r="D84" s="229" t="str">
        <f>'Бюджет на запуск'!$H$3</f>
        <v>RUB</v>
      </c>
      <c r="E84" s="230">
        <f>SUMIF('Бюджет на запуск'!$C$105:$C$119,Расчет!$D84,'Бюджет на запуск'!$D$105:$D$119)</f>
        <v>0</v>
      </c>
      <c r="F84" s="231">
        <f>IFERROR(SUMPRODUCT(('Бюджет на запуск'!$D$105:$D$119)*('Бюджет на запуск'!$E$105:$E$119)*(('Бюджет на запуск'!$C$105:$C$119=Расчет!$D84)))/$E84,0)</f>
        <v>0</v>
      </c>
      <c r="G84" s="232">
        <f t="shared" si="55"/>
        <v>1</v>
      </c>
      <c r="H84" s="42">
        <f>IFERROR(SUMPRODUCT(('Бюджет на запуск'!$D$105:$D$119)*('Бюджет на запуск'!H$105:H$119)*(('Бюджет на запуск'!$C$105:$C$119=Расчет!$D84)))/$E84,0)</f>
        <v>0</v>
      </c>
      <c r="I84" s="42">
        <f>IFERROR(SUMPRODUCT(('Бюджет на запуск'!$D$105:$D$119)*('Бюджет на запуск'!I$105:I$119)*(('Бюджет на запуск'!$C$105:$C$119=Расчет!$D84)))/$E84,0)</f>
        <v>0</v>
      </c>
      <c r="J84" s="42">
        <f>IFERROR(SUMPRODUCT(('Бюджет на запуск'!$D$105:$D$119)*('Бюджет на запуск'!J$105:J$119)*(('Бюджет на запуск'!$C$105:$C$119=Расчет!$D84)))/$E84,0)</f>
        <v>0</v>
      </c>
      <c r="K84" s="42">
        <f>IFERROR(SUMPRODUCT(('Бюджет на запуск'!$D$105:$D$119)*('Бюджет на запуск'!K$105:K$119)*(('Бюджет на запуск'!$C$105:$C$119=Расчет!$D84)))/$E84,0)</f>
        <v>0</v>
      </c>
      <c r="L84" s="42">
        <f>IFERROR(SUMPRODUCT(('Бюджет на запуск'!$D$105:$D$119)*('Бюджет на запуск'!L$105:L$119)*(('Бюджет на запуск'!$C$105:$C$119=Расчет!$D84)))/$E84,0)</f>
        <v>0</v>
      </c>
      <c r="M84" s="42">
        <f>IFERROR(SUMPRODUCT(('Бюджет на запуск'!$D$105:$D$119)*('Бюджет на запуск'!M$105:M$119)*(('Бюджет на запуск'!$C$105:$C$119=Расчет!$D84)))/$E84,0)</f>
        <v>0</v>
      </c>
      <c r="N84" s="42">
        <f>IFERROR(SUMPRODUCT(('Бюджет на запуск'!$D$105:$D$119)*('Бюджет на запуск'!N$105:N$119)*(('Бюджет на запуск'!$C$105:$C$119=Расчет!$D84)))/$E84,0)</f>
        <v>0</v>
      </c>
      <c r="O84" s="42">
        <f>IFERROR(SUMPRODUCT(('Бюджет на запуск'!$D$105:$D$119)*('Бюджет на запуск'!O$105:O$119)*(('Бюджет на запуск'!$C$105:$C$119=Расчет!$D84)))/$E84,0)</f>
        <v>0</v>
      </c>
      <c r="P84" s="42">
        <f>IFERROR(SUMPRODUCT(('Бюджет на запуск'!$D$105:$D$119)*('Бюджет на запуск'!P$105:P$119)*(('Бюджет на запуск'!$C$105:$C$119=Расчет!$D84)))/$E84,0)</f>
        <v>0</v>
      </c>
      <c r="Q84" s="42">
        <f>IFERROR(SUMPRODUCT(('Бюджет на запуск'!$D$105:$D$119)*('Бюджет на запуск'!Q$105:Q$119)*(('Бюджет на запуск'!$C$105:$C$119=Расчет!$D84)))/$E84,0)</f>
        <v>0</v>
      </c>
      <c r="R84" s="42">
        <f>IFERROR(SUMPRODUCT(('Бюджет на запуск'!$D$105:$D$119)*('Бюджет на запуск'!R$105:R$119)*(('Бюджет на запуск'!$C$105:$C$119=Расчет!$D84)))/$E84,0)</f>
        <v>0</v>
      </c>
      <c r="S84" s="42">
        <f>IFERROR(SUMPRODUCT(('Бюджет на запуск'!$D$105:$D$119)*('Бюджет на запуск'!S$105:S$119)*(('Бюджет на запуск'!$C$105:$C$119=Расчет!$D84)))/$E84,0)</f>
        <v>0</v>
      </c>
    </row>
    <row r="85" spans="1:19" s="2" customFormat="1" ht="16.5" x14ac:dyDescent="0.3">
      <c r="A85" s="223"/>
      <c r="B85" s="223"/>
      <c r="C85" s="200" t="str">
        <f t="shared" ref="C85:C87" si="57">"Участие в выставках, конференциях, бизнес-миссиях"&amp;" в "&amp;D85</f>
        <v>Участие в выставках, конференциях, бизнес-миссиях в AED</v>
      </c>
      <c r="D85" s="229" t="str">
        <f>'Бюджет на запуск'!$I$3</f>
        <v>AED</v>
      </c>
      <c r="E85" s="230">
        <f>SUMIF('Бюджет на запуск'!$C$105:$C$119,Расчет!$D85,'Бюджет на запуск'!$D$105:$D$119)</f>
        <v>325000</v>
      </c>
      <c r="F85" s="231">
        <f>IFERROR(SUMPRODUCT(('Бюджет на запуск'!$D$105:$D$119)*('Бюджет на запуск'!$E$105:$E$119)*(('Бюджет на запуск'!$C$105:$C$119=Расчет!$D85)))/$E85,0)</f>
        <v>1.5384615384615385E-3</v>
      </c>
      <c r="G85" s="232">
        <f t="shared" si="55"/>
        <v>0.99999999999999989</v>
      </c>
      <c r="H85" s="42">
        <f>IFERROR(SUMPRODUCT(('Бюджет на запуск'!$D$105:$D$119)*('Бюджет на запуск'!H$105:H$119)*(('Бюджет на запуск'!$C$105:$C$119=Расчет!$D85)))/$E85,0)</f>
        <v>0.29846153846153839</v>
      </c>
      <c r="I85" s="42">
        <f>IFERROR(SUMPRODUCT(('Бюджет на запуск'!$D$105:$D$119)*('Бюджет на запуск'!I$105:I$119)*(('Бюджет на запуск'!$C$105:$C$119=Расчет!$D85)))/$E85,0)</f>
        <v>3.6923076923076927E-2</v>
      </c>
      <c r="J85" s="42">
        <f>IFERROR(SUMPRODUCT(('Бюджет на запуск'!$D$105:$D$119)*('Бюджет на запуск'!J$105:J$119)*(('Бюджет на запуск'!$C$105:$C$119=Расчет!$D85)))/$E85,0)</f>
        <v>0.29846153846153839</v>
      </c>
      <c r="K85" s="42">
        <f>IFERROR(SUMPRODUCT(('Бюджет на запуск'!$D$105:$D$119)*('Бюджет на запуск'!K$105:K$119)*(('Бюджет на запуск'!$C$105:$C$119=Расчет!$D85)))/$E85,0)</f>
        <v>3.6923076923076927E-2</v>
      </c>
      <c r="L85" s="42">
        <f>IFERROR(SUMPRODUCT(('Бюджет на запуск'!$D$105:$D$119)*('Бюджет на запуск'!L$105:L$119)*(('Бюджет на запуск'!$C$105:$C$119=Расчет!$D85)))/$E85,0)</f>
        <v>0.29846153846153839</v>
      </c>
      <c r="M85" s="42">
        <f>IFERROR(SUMPRODUCT(('Бюджет на запуск'!$D$105:$D$119)*('Бюджет на запуск'!M$105:M$119)*(('Бюджет на запуск'!$C$105:$C$119=Расчет!$D85)))/$E85,0)</f>
        <v>3.0769230769230771E-2</v>
      </c>
      <c r="N85" s="42">
        <f>IFERROR(SUMPRODUCT(('Бюджет на запуск'!$D$105:$D$119)*('Бюджет на запуск'!N$105:N$119)*(('Бюджет на запуск'!$C$105:$C$119=Расчет!$D85)))/$E85,0)</f>
        <v>0</v>
      </c>
      <c r="O85" s="42">
        <f>IFERROR(SUMPRODUCT(('Бюджет на запуск'!$D$105:$D$119)*('Бюджет на запуск'!O$105:O$119)*(('Бюджет на запуск'!$C$105:$C$119=Расчет!$D85)))/$E85,0)</f>
        <v>0</v>
      </c>
      <c r="P85" s="42">
        <f>IFERROR(SUMPRODUCT(('Бюджет на запуск'!$D$105:$D$119)*('Бюджет на запуск'!P$105:P$119)*(('Бюджет на запуск'!$C$105:$C$119=Расчет!$D85)))/$E85,0)</f>
        <v>0</v>
      </c>
      <c r="Q85" s="42">
        <f>IFERROR(SUMPRODUCT(('Бюджет на запуск'!$D$105:$D$119)*('Бюджет на запуск'!Q$105:Q$119)*(('Бюджет на запуск'!$C$105:$C$119=Расчет!$D85)))/$E85,0)</f>
        <v>0</v>
      </c>
      <c r="R85" s="42">
        <f>IFERROR(SUMPRODUCT(('Бюджет на запуск'!$D$105:$D$119)*('Бюджет на запуск'!R$105:R$119)*(('Бюджет на запуск'!$C$105:$C$119=Расчет!$D85)))/$E85,0)</f>
        <v>0</v>
      </c>
      <c r="S85" s="42">
        <f>IFERROR(SUMPRODUCT(('Бюджет на запуск'!$D$105:$D$119)*('Бюджет на запуск'!S$105:S$119)*(('Бюджет на запуск'!$C$105:$C$119=Расчет!$D85)))/$E85,0)</f>
        <v>0</v>
      </c>
    </row>
    <row r="86" spans="1:19" s="2" customFormat="1" ht="16.5" x14ac:dyDescent="0.3">
      <c r="A86" s="223"/>
      <c r="B86" s="223"/>
      <c r="C86" s="200" t="str">
        <f t="shared" si="57"/>
        <v>Участие в выставках, конференциях, бизнес-миссиях в USD</v>
      </c>
      <c r="D86" s="229" t="str">
        <f>'Бюджет на запуск'!$J$3</f>
        <v>USD</v>
      </c>
      <c r="E86" s="230">
        <f>SUMIF('Бюджет на запуск'!$C$105:$C$119,Расчет!$D86,'Бюджет на запуск'!$D$105:$D$119)</f>
        <v>0</v>
      </c>
      <c r="F86" s="231">
        <f>IFERROR(SUMPRODUCT(('Бюджет на запуск'!$D$105:$D$119)*('Бюджет на запуск'!$E$105:$E$119)*(('Бюджет на запуск'!$C$105:$C$119=Расчет!$D86)))/$E86,0)</f>
        <v>0</v>
      </c>
      <c r="G86" s="232">
        <f t="shared" si="55"/>
        <v>1</v>
      </c>
      <c r="H86" s="42">
        <f>IFERROR(SUMPRODUCT(('Бюджет на запуск'!$D$105:$D$119)*('Бюджет на запуск'!H$105:H$119)*(('Бюджет на запуск'!$C$105:$C$119=Расчет!$D86)))/$E86,0)</f>
        <v>0</v>
      </c>
      <c r="I86" s="42">
        <f>IFERROR(SUMPRODUCT(('Бюджет на запуск'!$D$105:$D$119)*('Бюджет на запуск'!I$105:I$119)*(('Бюджет на запуск'!$C$105:$C$119=Расчет!$D86)))/$E86,0)</f>
        <v>0</v>
      </c>
      <c r="J86" s="42">
        <f>IFERROR(SUMPRODUCT(('Бюджет на запуск'!$D$105:$D$119)*('Бюджет на запуск'!J$105:J$119)*(('Бюджет на запуск'!$C$105:$C$119=Расчет!$D86)))/$E86,0)</f>
        <v>0</v>
      </c>
      <c r="K86" s="42">
        <f>IFERROR(SUMPRODUCT(('Бюджет на запуск'!$D$105:$D$119)*('Бюджет на запуск'!K$105:K$119)*(('Бюджет на запуск'!$C$105:$C$119=Расчет!$D86)))/$E86,0)</f>
        <v>0</v>
      </c>
      <c r="L86" s="42">
        <f>IFERROR(SUMPRODUCT(('Бюджет на запуск'!$D$105:$D$119)*('Бюджет на запуск'!L$105:L$119)*(('Бюджет на запуск'!$C$105:$C$119=Расчет!$D86)))/$E86,0)</f>
        <v>0</v>
      </c>
      <c r="M86" s="42">
        <f>IFERROR(SUMPRODUCT(('Бюджет на запуск'!$D$105:$D$119)*('Бюджет на запуск'!M$105:M$119)*(('Бюджет на запуск'!$C$105:$C$119=Расчет!$D86)))/$E86,0)</f>
        <v>0</v>
      </c>
      <c r="N86" s="42">
        <f>IFERROR(SUMPRODUCT(('Бюджет на запуск'!$D$105:$D$119)*('Бюджет на запуск'!N$105:N$119)*(('Бюджет на запуск'!$C$105:$C$119=Расчет!$D86)))/$E86,0)</f>
        <v>0</v>
      </c>
      <c r="O86" s="42">
        <f>IFERROR(SUMPRODUCT(('Бюджет на запуск'!$D$105:$D$119)*('Бюджет на запуск'!O$105:O$119)*(('Бюджет на запуск'!$C$105:$C$119=Расчет!$D86)))/$E86,0)</f>
        <v>0</v>
      </c>
      <c r="P86" s="42">
        <f>IFERROR(SUMPRODUCT(('Бюджет на запуск'!$D$105:$D$119)*('Бюджет на запуск'!P$105:P$119)*(('Бюджет на запуск'!$C$105:$C$119=Расчет!$D86)))/$E86,0)</f>
        <v>0</v>
      </c>
      <c r="Q86" s="42">
        <f>IFERROR(SUMPRODUCT(('Бюджет на запуск'!$D$105:$D$119)*('Бюджет на запуск'!Q$105:Q$119)*(('Бюджет на запуск'!$C$105:$C$119=Расчет!$D86)))/$E86,0)</f>
        <v>0</v>
      </c>
      <c r="R86" s="42">
        <f>IFERROR(SUMPRODUCT(('Бюджет на запуск'!$D$105:$D$119)*('Бюджет на запуск'!R$105:R$119)*(('Бюджет на запуск'!$C$105:$C$119=Расчет!$D86)))/$E86,0)</f>
        <v>0</v>
      </c>
      <c r="S86" s="42">
        <f>IFERROR(SUMPRODUCT(('Бюджет на запуск'!$D$105:$D$119)*('Бюджет на запуск'!S$105:S$119)*(('Бюджет на запуск'!$C$105:$C$119=Расчет!$D86)))/$E86,0)</f>
        <v>0</v>
      </c>
    </row>
    <row r="87" spans="1:19" s="2" customFormat="1" ht="16.5" x14ac:dyDescent="0.3">
      <c r="A87" s="223"/>
      <c r="B87" s="223"/>
      <c r="C87" s="200" t="str">
        <f t="shared" si="57"/>
        <v>Участие в выставках, конференциях, бизнес-миссиях в CNY</v>
      </c>
      <c r="D87" s="229" t="str">
        <f>'Бюджет на запуск'!$K$3</f>
        <v>CNY</v>
      </c>
      <c r="E87" s="230">
        <f>SUMIF('Бюджет на запуск'!$C$105:$C$119,Расчет!$D87,'Бюджет на запуск'!$D$105:$D$119)</f>
        <v>0</v>
      </c>
      <c r="F87" s="231">
        <f>IFERROR(SUMPRODUCT(('Бюджет на запуск'!$D$105:$D$119)*('Бюджет на запуск'!$E$105:$E$119)*(('Бюджет на запуск'!$C$105:$C$119=Расчет!$D87)))/$E87,0)</f>
        <v>0</v>
      </c>
      <c r="G87" s="232">
        <f t="shared" si="55"/>
        <v>1</v>
      </c>
      <c r="H87" s="42">
        <f>IFERROR(SUMPRODUCT(('Бюджет на запуск'!$D$105:$D$119)*('Бюджет на запуск'!H$105:H$119)*(('Бюджет на запуск'!$C$105:$C$119=Расчет!$D87)))/$E87,0)</f>
        <v>0</v>
      </c>
      <c r="I87" s="42">
        <f>IFERROR(SUMPRODUCT(('Бюджет на запуск'!$D$105:$D$119)*('Бюджет на запуск'!I$105:I$119)*(('Бюджет на запуск'!$C$105:$C$119=Расчет!$D87)))/$E87,0)</f>
        <v>0</v>
      </c>
      <c r="J87" s="42">
        <f>IFERROR(SUMPRODUCT(('Бюджет на запуск'!$D$105:$D$119)*('Бюджет на запуск'!J$105:J$119)*(('Бюджет на запуск'!$C$105:$C$119=Расчет!$D87)))/$E87,0)</f>
        <v>0</v>
      </c>
      <c r="K87" s="42">
        <f>IFERROR(SUMPRODUCT(('Бюджет на запуск'!$D$105:$D$119)*('Бюджет на запуск'!K$105:K$119)*(('Бюджет на запуск'!$C$105:$C$119=Расчет!$D87)))/$E87,0)</f>
        <v>0</v>
      </c>
      <c r="L87" s="42">
        <f>IFERROR(SUMPRODUCT(('Бюджет на запуск'!$D$105:$D$119)*('Бюджет на запуск'!L$105:L$119)*(('Бюджет на запуск'!$C$105:$C$119=Расчет!$D87)))/$E87,0)</f>
        <v>0</v>
      </c>
      <c r="M87" s="42">
        <f>IFERROR(SUMPRODUCT(('Бюджет на запуск'!$D$105:$D$119)*('Бюджет на запуск'!M$105:M$119)*(('Бюджет на запуск'!$C$105:$C$119=Расчет!$D87)))/$E87,0)</f>
        <v>0</v>
      </c>
      <c r="N87" s="42">
        <f>IFERROR(SUMPRODUCT(('Бюджет на запуск'!$D$105:$D$119)*('Бюджет на запуск'!N$105:N$119)*(('Бюджет на запуск'!$C$105:$C$119=Расчет!$D87)))/$E87,0)</f>
        <v>0</v>
      </c>
      <c r="O87" s="42">
        <f>IFERROR(SUMPRODUCT(('Бюджет на запуск'!$D$105:$D$119)*('Бюджет на запуск'!O$105:O$119)*(('Бюджет на запуск'!$C$105:$C$119=Расчет!$D87)))/$E87,0)</f>
        <v>0</v>
      </c>
      <c r="P87" s="42">
        <f>IFERROR(SUMPRODUCT(('Бюджет на запуск'!$D$105:$D$119)*('Бюджет на запуск'!P$105:P$119)*(('Бюджет на запуск'!$C$105:$C$119=Расчет!$D87)))/$E87,0)</f>
        <v>0</v>
      </c>
      <c r="Q87" s="42">
        <f>IFERROR(SUMPRODUCT(('Бюджет на запуск'!$D$105:$D$119)*('Бюджет на запуск'!Q$105:Q$119)*(('Бюджет на запуск'!$C$105:$C$119=Расчет!$D87)))/$E87,0)</f>
        <v>0</v>
      </c>
      <c r="R87" s="42">
        <f>IFERROR(SUMPRODUCT(('Бюджет на запуск'!$D$105:$D$119)*('Бюджет на запуск'!R$105:R$119)*(('Бюджет на запуск'!$C$105:$C$119=Расчет!$D87)))/$E87,0)</f>
        <v>0</v>
      </c>
      <c r="S87" s="42">
        <f>IFERROR(SUMPRODUCT(('Бюджет на запуск'!$D$105:$D$119)*('Бюджет на запуск'!S$105:S$119)*(('Бюджет на запуск'!$C$105:$C$119=Расчет!$D87)))/$E87,0)</f>
        <v>0</v>
      </c>
    </row>
    <row r="88" spans="1:19" s="2" customFormat="1" ht="16.5" x14ac:dyDescent="0.3">
      <c r="A88" s="223"/>
      <c r="B88" s="223"/>
      <c r="C88" s="200" t="str">
        <f>"Тестовая партия (испытания, рекламные акции)"&amp;" в "&amp;D88</f>
        <v>Тестовая партия (испытания, рекламные акции) в RUB</v>
      </c>
      <c r="D88" s="229" t="str">
        <f>'Бюджет на запуск'!$H$3</f>
        <v>RUB</v>
      </c>
      <c r="E88" s="230">
        <f>SUMIF('Бюджет на запуск'!$C$122:$C$125,Расчет!$D88,'Бюджет на запуск'!$D$122:$D$125)</f>
        <v>2106000</v>
      </c>
      <c r="F88" s="231">
        <f>IFERROR(SUMPRODUCT(('Бюджет на запуск'!$D$122:$D$125)*('Бюджет на запуск'!$E$122:$E$125)*(('Бюджет на запуск'!$C$122:$C$125=Расчет!$D88)))/$E88,0)</f>
        <v>0</v>
      </c>
      <c r="G88" s="232">
        <f t="shared" si="55"/>
        <v>1</v>
      </c>
      <c r="H88" s="42">
        <f>IFERROR(SUMPRODUCT(('Бюджет на запуск'!$D$122:$D$125)*('Бюджет на запуск'!H$122:H$125)*(('Бюджет на запуск'!$C$122:$C$125=Расчет!$D88)))/$E88,0)</f>
        <v>0.33333333333333331</v>
      </c>
      <c r="I88" s="42">
        <f>IFERROR(SUMPRODUCT(('Бюджет на запуск'!$D$122:$D$125)*('Бюджет на запуск'!I$122:I$125)*(('Бюджет на запуск'!$C$122:$C$125=Расчет!$D88)))/$E88,0)</f>
        <v>0</v>
      </c>
      <c r="J88" s="42">
        <f>IFERROR(SUMPRODUCT(('Бюджет на запуск'!$D$122:$D$125)*('Бюджет на запуск'!J$122:J$125)*(('Бюджет на запуск'!$C$122:$C$125=Расчет!$D88)))/$E88,0)</f>
        <v>0.33333333333333331</v>
      </c>
      <c r="K88" s="42">
        <f>IFERROR(SUMPRODUCT(('Бюджет на запуск'!$D$122:$D$125)*('Бюджет на запуск'!K$122:K$125)*(('Бюджет на запуск'!$C$122:$C$125=Расчет!$D88)))/$E88,0)</f>
        <v>0</v>
      </c>
      <c r="L88" s="42">
        <f>IFERROR(SUMPRODUCT(('Бюджет на запуск'!$D$122:$D$125)*('Бюджет на запуск'!L$122:L$125)*(('Бюджет на запуск'!$C$122:$C$125=Расчет!$D88)))/$E88,0)</f>
        <v>0.33333333333333331</v>
      </c>
      <c r="M88" s="42">
        <f>IFERROR(SUMPRODUCT(('Бюджет на запуск'!$D$122:$D$125)*('Бюджет на запуск'!M$122:M$125)*(('Бюджет на запуск'!$C$122:$C$125=Расчет!$D88)))/$E88,0)</f>
        <v>0</v>
      </c>
      <c r="N88" s="42">
        <f>IFERROR(SUMPRODUCT(('Бюджет на запуск'!$D$122:$D$125)*('Бюджет на запуск'!N$122:N$125)*(('Бюджет на запуск'!$C$122:$C$125=Расчет!$D88)))/$E88,0)</f>
        <v>0</v>
      </c>
      <c r="O88" s="42">
        <f>IFERROR(SUMPRODUCT(('Бюджет на запуск'!$D$122:$D$125)*('Бюджет на запуск'!O$122:O$125)*(('Бюджет на запуск'!$C$122:$C$125=Расчет!$D88)))/$E88,0)</f>
        <v>0</v>
      </c>
      <c r="P88" s="42">
        <f>IFERROR(SUMPRODUCT(('Бюджет на запуск'!$D$122:$D$125)*('Бюджет на запуск'!P$122:P$125)*(('Бюджет на запуск'!$C$122:$C$125=Расчет!$D88)))/$E88,0)</f>
        <v>0</v>
      </c>
      <c r="Q88" s="42">
        <f>IFERROR(SUMPRODUCT(('Бюджет на запуск'!$D$122:$D$125)*('Бюджет на запуск'!Q$122:Q$125)*(('Бюджет на запуск'!$C$122:$C$125=Расчет!$D88)))/$E88,0)</f>
        <v>0</v>
      </c>
      <c r="R88" s="42">
        <f>IFERROR(SUMPRODUCT(('Бюджет на запуск'!$D$122:$D$125)*('Бюджет на запуск'!R$122:R$125)*(('Бюджет на запуск'!$C$122:$C$125=Расчет!$D88)))/$E88,0)</f>
        <v>0</v>
      </c>
      <c r="S88" s="42">
        <f>IFERROR(SUMPRODUCT(('Бюджет на запуск'!$D$122:$D$125)*('Бюджет на запуск'!S$122:S$125)*(('Бюджет на запуск'!$C$122:$C$125=Расчет!$D88)))/$E88,0)</f>
        <v>0</v>
      </c>
    </row>
    <row r="89" spans="1:19" s="2" customFormat="1" ht="16.5" x14ac:dyDescent="0.3">
      <c r="A89" s="223"/>
      <c r="B89" s="223"/>
      <c r="C89" s="200" t="str">
        <f t="shared" ref="C89:C90" si="58">"Тестовая партия (испытания, рекламные акции)"&amp;" в "&amp;D89</f>
        <v>Тестовая партия (испытания, рекламные акции) в AED</v>
      </c>
      <c r="D89" s="229" t="str">
        <f>'Бюджет на запуск'!$I$3</f>
        <v>AED</v>
      </c>
      <c r="E89" s="230">
        <f>SUMIF('Бюджет на запуск'!$C$122:$C$125,Расчет!$D89,'Бюджет на запуск'!$D$122:$D$125)</f>
        <v>0</v>
      </c>
      <c r="F89" s="231">
        <f>IFERROR(SUMPRODUCT(('Бюджет на запуск'!$D$122:$D$125)*('Бюджет на запуск'!$E$122:$E$125)*(('Бюджет на запуск'!$C$122:$C$125=Расчет!$D89)))/$E89,0)</f>
        <v>0</v>
      </c>
      <c r="G89" s="232">
        <f t="shared" si="55"/>
        <v>1</v>
      </c>
      <c r="H89" s="42">
        <f>IFERROR(SUMPRODUCT(('Бюджет на запуск'!$D$122:$D$125)*('Бюджет на запуск'!H$122:H$125)*(('Бюджет на запуск'!$C$122:$C$125=Расчет!$D89)))/$E89,0)</f>
        <v>0</v>
      </c>
      <c r="I89" s="42">
        <f>IFERROR(SUMPRODUCT(('Бюджет на запуск'!$D$122:$D$125)*('Бюджет на запуск'!I$122:I$125)*(('Бюджет на запуск'!$C$122:$C$125=Расчет!$D89)))/$E89,0)</f>
        <v>0</v>
      </c>
      <c r="J89" s="42">
        <f>IFERROR(SUMPRODUCT(('Бюджет на запуск'!$D$122:$D$125)*('Бюджет на запуск'!J$122:J$125)*(('Бюджет на запуск'!$C$122:$C$125=Расчет!$D89)))/$E89,0)</f>
        <v>0</v>
      </c>
      <c r="K89" s="42">
        <f>IFERROR(SUMPRODUCT(('Бюджет на запуск'!$D$122:$D$125)*('Бюджет на запуск'!K$122:K$125)*(('Бюджет на запуск'!$C$122:$C$125=Расчет!$D89)))/$E89,0)</f>
        <v>0</v>
      </c>
      <c r="L89" s="42">
        <f>IFERROR(SUMPRODUCT(('Бюджет на запуск'!$D$122:$D$125)*('Бюджет на запуск'!L$122:L$125)*(('Бюджет на запуск'!$C$122:$C$125=Расчет!$D89)))/$E89,0)</f>
        <v>0</v>
      </c>
      <c r="M89" s="42">
        <f>IFERROR(SUMPRODUCT(('Бюджет на запуск'!$D$122:$D$125)*('Бюджет на запуск'!M$122:M$125)*(('Бюджет на запуск'!$C$122:$C$125=Расчет!$D89)))/$E89,0)</f>
        <v>0</v>
      </c>
      <c r="N89" s="42">
        <f>IFERROR(SUMPRODUCT(('Бюджет на запуск'!$D$122:$D$125)*('Бюджет на запуск'!N$122:N$125)*(('Бюджет на запуск'!$C$122:$C$125=Расчет!$D89)))/$E89,0)</f>
        <v>0</v>
      </c>
      <c r="O89" s="42">
        <f>IFERROR(SUMPRODUCT(('Бюджет на запуск'!$D$122:$D$125)*('Бюджет на запуск'!O$122:O$125)*(('Бюджет на запуск'!$C$122:$C$125=Расчет!$D89)))/$E89,0)</f>
        <v>0</v>
      </c>
      <c r="P89" s="42">
        <f>IFERROR(SUMPRODUCT(('Бюджет на запуск'!$D$122:$D$125)*('Бюджет на запуск'!P$122:P$125)*(('Бюджет на запуск'!$C$122:$C$125=Расчет!$D89)))/$E89,0)</f>
        <v>0</v>
      </c>
      <c r="Q89" s="42">
        <f>IFERROR(SUMPRODUCT(('Бюджет на запуск'!$D$122:$D$125)*('Бюджет на запуск'!Q$122:Q$125)*(('Бюджет на запуск'!$C$122:$C$125=Расчет!$D89)))/$E89,0)</f>
        <v>0</v>
      </c>
      <c r="R89" s="42">
        <f>IFERROR(SUMPRODUCT(('Бюджет на запуск'!$D$122:$D$125)*('Бюджет на запуск'!R$122:R$125)*(('Бюджет на запуск'!$C$122:$C$125=Расчет!$D89)))/$E89,0)</f>
        <v>0</v>
      </c>
      <c r="S89" s="42">
        <f>IFERROR(SUMPRODUCT(('Бюджет на запуск'!$D$122:$D$125)*('Бюджет на запуск'!S$122:S$125)*(('Бюджет на запуск'!$C$122:$C$125=Расчет!$D89)))/$E89,0)</f>
        <v>0</v>
      </c>
    </row>
    <row r="90" spans="1:19" s="2" customFormat="1" ht="16.5" x14ac:dyDescent="0.3">
      <c r="A90" s="223"/>
      <c r="B90" s="223"/>
      <c r="C90" s="200" t="str">
        <f t="shared" si="58"/>
        <v>Тестовая партия (испытания, рекламные акции) в USD</v>
      </c>
      <c r="D90" s="229" t="str">
        <f>'Бюджет на запуск'!$J$3</f>
        <v>USD</v>
      </c>
      <c r="E90" s="230">
        <f>SUMIF('Бюджет на запуск'!$C$122:$C$125,Расчет!$D90,'Бюджет на запуск'!$D$122:$D$125)</f>
        <v>0</v>
      </c>
      <c r="F90" s="231">
        <f>IFERROR(SUMPRODUCT(('Бюджет на запуск'!$D$122:$D$125)*('Бюджет на запуск'!$E$122:$E$125)*(('Бюджет на запуск'!$C$122:$C$125=Расчет!$D90)))/$E90,0)</f>
        <v>0</v>
      </c>
      <c r="G90" s="232">
        <f t="shared" si="55"/>
        <v>1</v>
      </c>
      <c r="H90" s="42">
        <f>IFERROR(SUMPRODUCT(('Бюджет на запуск'!$D$122:$D$125)*('Бюджет на запуск'!H$122:H$125)*(('Бюджет на запуск'!$C$122:$C$125=Расчет!$D90)))/$E90,0)</f>
        <v>0</v>
      </c>
      <c r="I90" s="42">
        <f>IFERROR(SUMPRODUCT(('Бюджет на запуск'!$D$122:$D$125)*('Бюджет на запуск'!I$122:I$125)*(('Бюджет на запуск'!$C$122:$C$125=Расчет!$D90)))/$E90,0)</f>
        <v>0</v>
      </c>
      <c r="J90" s="42">
        <f>IFERROR(SUMPRODUCT(('Бюджет на запуск'!$D$122:$D$125)*('Бюджет на запуск'!J$122:J$125)*(('Бюджет на запуск'!$C$122:$C$125=Расчет!$D90)))/$E90,0)</f>
        <v>0</v>
      </c>
      <c r="K90" s="42">
        <f>IFERROR(SUMPRODUCT(('Бюджет на запуск'!$D$122:$D$125)*('Бюджет на запуск'!K$122:K$125)*(('Бюджет на запуск'!$C$122:$C$125=Расчет!$D90)))/$E90,0)</f>
        <v>0</v>
      </c>
      <c r="L90" s="42">
        <f>IFERROR(SUMPRODUCT(('Бюджет на запуск'!$D$122:$D$125)*('Бюджет на запуск'!L$122:L$125)*(('Бюджет на запуск'!$C$122:$C$125=Расчет!$D90)))/$E90,0)</f>
        <v>0</v>
      </c>
      <c r="M90" s="42">
        <f>IFERROR(SUMPRODUCT(('Бюджет на запуск'!$D$122:$D$125)*('Бюджет на запуск'!M$122:M$125)*(('Бюджет на запуск'!$C$122:$C$125=Расчет!$D90)))/$E90,0)</f>
        <v>0</v>
      </c>
      <c r="N90" s="42">
        <f>IFERROR(SUMPRODUCT(('Бюджет на запуск'!$D$122:$D$125)*('Бюджет на запуск'!N$122:N$125)*(('Бюджет на запуск'!$C$122:$C$125=Расчет!$D90)))/$E90,0)</f>
        <v>0</v>
      </c>
      <c r="O90" s="42">
        <f>IFERROR(SUMPRODUCT(('Бюджет на запуск'!$D$122:$D$125)*('Бюджет на запуск'!O$122:O$125)*(('Бюджет на запуск'!$C$122:$C$125=Расчет!$D90)))/$E90,0)</f>
        <v>0</v>
      </c>
      <c r="P90" s="42">
        <f>IFERROR(SUMPRODUCT(('Бюджет на запуск'!$D$122:$D$125)*('Бюджет на запуск'!P$122:P$125)*(('Бюджет на запуск'!$C$122:$C$125=Расчет!$D90)))/$E90,0)</f>
        <v>0</v>
      </c>
      <c r="Q90" s="42">
        <f>IFERROR(SUMPRODUCT(('Бюджет на запуск'!$D$122:$D$125)*('Бюджет на запуск'!Q$122:Q$125)*(('Бюджет на запуск'!$C$122:$C$125=Расчет!$D90)))/$E90,0)</f>
        <v>0</v>
      </c>
      <c r="R90" s="42">
        <f>IFERROR(SUMPRODUCT(('Бюджет на запуск'!$D$122:$D$125)*('Бюджет на запуск'!R$122:R$125)*(('Бюджет на запуск'!$C$122:$C$125=Расчет!$D90)))/$E90,0)</f>
        <v>0</v>
      </c>
      <c r="S90" s="42">
        <f>IFERROR(SUMPRODUCT(('Бюджет на запуск'!$D$122:$D$125)*('Бюджет на запуск'!S$122:S$125)*(('Бюджет на запуск'!$C$122:$C$125=Расчет!$D90)))/$E90,0)</f>
        <v>0</v>
      </c>
    </row>
    <row r="91" spans="1:19" s="2" customFormat="1" ht="16.5" x14ac:dyDescent="0.3">
      <c r="A91" s="223"/>
      <c r="B91" s="223"/>
      <c r="C91" s="200" t="str">
        <f>"Тестовая партия (испытания, рекламные акции)"&amp;" в "&amp;D91</f>
        <v>Тестовая партия (испытания, рекламные акции) в CNY</v>
      </c>
      <c r="D91" s="229" t="str">
        <f>'Бюджет на запуск'!$K$3</f>
        <v>CNY</v>
      </c>
      <c r="E91" s="230">
        <f>SUMIF('Бюджет на запуск'!$C$122:$C$125,Расчет!$D91,'Бюджет на запуск'!$D$122:$D$125)</f>
        <v>0</v>
      </c>
      <c r="F91" s="231">
        <f>IFERROR(SUMPRODUCT(('Бюджет на запуск'!$D$122:$D$125)*('Бюджет на запуск'!$E$122:$E$125)*(('Бюджет на запуск'!$C$122:$C$125=Расчет!$D91)))/$E91,0)</f>
        <v>0</v>
      </c>
      <c r="G91" s="232">
        <f t="shared" si="55"/>
        <v>1</v>
      </c>
      <c r="H91" s="42">
        <f>IFERROR(SUMPRODUCT(('Бюджет на запуск'!$D$122:$D$125)*('Бюджет на запуск'!H$122:H$125)*(('Бюджет на запуск'!$C$122:$C$125=Расчет!$D91)))/$E91,0)</f>
        <v>0</v>
      </c>
      <c r="I91" s="42">
        <f>IFERROR(SUMPRODUCT(('Бюджет на запуск'!$D$122:$D$125)*('Бюджет на запуск'!I$122:I$125)*(('Бюджет на запуск'!$C$122:$C$125=Расчет!$D91)))/$E91,0)</f>
        <v>0</v>
      </c>
      <c r="J91" s="42">
        <f>IFERROR(SUMPRODUCT(('Бюджет на запуск'!$D$122:$D$125)*('Бюджет на запуск'!J$122:J$125)*(('Бюджет на запуск'!$C$122:$C$125=Расчет!$D91)))/$E91,0)</f>
        <v>0</v>
      </c>
      <c r="K91" s="42">
        <f>IFERROR(SUMPRODUCT(('Бюджет на запуск'!$D$122:$D$125)*('Бюджет на запуск'!K$122:K$125)*(('Бюджет на запуск'!$C$122:$C$125=Расчет!$D91)))/$E91,0)</f>
        <v>0</v>
      </c>
      <c r="L91" s="42">
        <f>IFERROR(SUMPRODUCT(('Бюджет на запуск'!$D$122:$D$125)*('Бюджет на запуск'!L$122:L$125)*(('Бюджет на запуск'!$C$122:$C$125=Расчет!$D91)))/$E91,0)</f>
        <v>0</v>
      </c>
      <c r="M91" s="42">
        <f>IFERROR(SUMPRODUCT(('Бюджет на запуск'!$D$122:$D$125)*('Бюджет на запуск'!M$122:M$125)*(('Бюджет на запуск'!$C$122:$C$125=Расчет!$D91)))/$E91,0)</f>
        <v>0</v>
      </c>
      <c r="N91" s="42">
        <f>IFERROR(SUMPRODUCT(('Бюджет на запуск'!$D$122:$D$125)*('Бюджет на запуск'!N$122:N$125)*(('Бюджет на запуск'!$C$122:$C$125=Расчет!$D91)))/$E91,0)</f>
        <v>0</v>
      </c>
      <c r="O91" s="42">
        <f>IFERROR(SUMPRODUCT(('Бюджет на запуск'!$D$122:$D$125)*('Бюджет на запуск'!O$122:O$125)*(('Бюджет на запуск'!$C$122:$C$125=Расчет!$D91)))/$E91,0)</f>
        <v>0</v>
      </c>
      <c r="P91" s="42">
        <f>IFERROR(SUMPRODUCT(('Бюджет на запуск'!$D$122:$D$125)*('Бюджет на запуск'!P$122:P$125)*(('Бюджет на запуск'!$C$122:$C$125=Расчет!$D91)))/$E91,0)</f>
        <v>0</v>
      </c>
      <c r="Q91" s="42">
        <f>IFERROR(SUMPRODUCT(('Бюджет на запуск'!$D$122:$D$125)*('Бюджет на запуск'!Q$122:Q$125)*(('Бюджет на запуск'!$C$122:$C$125=Расчет!$D91)))/$E91,0)</f>
        <v>0</v>
      </c>
      <c r="R91" s="42">
        <f>IFERROR(SUMPRODUCT(('Бюджет на запуск'!$D$122:$D$125)*('Бюджет на запуск'!R$122:R$125)*(('Бюджет на запуск'!$C$122:$C$125=Расчет!$D91)))/$E91,0)</f>
        <v>0</v>
      </c>
      <c r="S91" s="42">
        <f>IFERROR(SUMPRODUCT(('Бюджет на запуск'!$D$122:$D$125)*('Бюджет на запуск'!S$122:S$125)*(('Бюджет на запуск'!$C$122:$C$125=Расчет!$D91)))/$E91,0)</f>
        <v>0</v>
      </c>
    </row>
    <row r="92" spans="1:19" s="2" customFormat="1" ht="16.5" x14ac:dyDescent="0.3">
      <c r="A92" s="223"/>
      <c r="B92" s="223"/>
      <c r="C92" s="200" t="str">
        <f>"Создание сайта на языке страны экспорта"&amp;" в "&amp;D92</f>
        <v>Создание сайта на языке страны экспорта в RUB</v>
      </c>
      <c r="D92" s="229" t="str">
        <f>'Бюджет на запуск'!$H$3</f>
        <v>RUB</v>
      </c>
      <c r="E92" s="230">
        <f>SUMIF('Бюджет на запуск'!$C$128:$C$138,Расчет!$D92,'Бюджет на запуск'!$D$128:$D$138)</f>
        <v>0</v>
      </c>
      <c r="F92" s="231">
        <f>IFERROR(SUMPRODUCT(('Бюджет на запуск'!$D$128:$D$138)*('Бюджет на запуск'!$E$128:$E$138)*(('Бюджет на запуск'!$C$128:$C$138=Расчет!$D92)))/$E92,0)</f>
        <v>0</v>
      </c>
      <c r="G92" s="232">
        <f t="shared" si="55"/>
        <v>1</v>
      </c>
      <c r="H92" s="42">
        <f>IFERROR(SUMPRODUCT(('Бюджет на запуск'!$D$128:$D$138)*('Бюджет на запуск'!H$128:H$138)*(('Бюджет на запуск'!$C$128:$C$138=Расчет!$D92)))/$E92,0)</f>
        <v>0</v>
      </c>
      <c r="I92" s="42">
        <f>IFERROR(SUMPRODUCT(('Бюджет на запуск'!$D$128:$D$138)*('Бюджет на запуск'!I$128:I$138)*(('Бюджет на запуск'!$C$128:$C$138=Расчет!$D92)))/$E92,0)</f>
        <v>0</v>
      </c>
      <c r="J92" s="42">
        <f>IFERROR(SUMPRODUCT(('Бюджет на запуск'!$D$128:$D$138)*('Бюджет на запуск'!J$128:J$138)*(('Бюджет на запуск'!$C$128:$C$138=Расчет!$D92)))/$E92,0)</f>
        <v>0</v>
      </c>
      <c r="K92" s="42">
        <f>IFERROR(SUMPRODUCT(('Бюджет на запуск'!$D$128:$D$138)*('Бюджет на запуск'!K$128:K$138)*(('Бюджет на запуск'!$C$128:$C$138=Расчет!$D92)))/$E92,0)</f>
        <v>0</v>
      </c>
      <c r="L92" s="42">
        <f>IFERROR(SUMPRODUCT(('Бюджет на запуск'!$D$128:$D$138)*('Бюджет на запуск'!L$128:L$138)*(('Бюджет на запуск'!$C$128:$C$138=Расчет!$D92)))/$E92,0)</f>
        <v>0</v>
      </c>
      <c r="M92" s="42">
        <f>IFERROR(SUMPRODUCT(('Бюджет на запуск'!$D$128:$D$138)*('Бюджет на запуск'!M$128:M$138)*(('Бюджет на запуск'!$C$128:$C$138=Расчет!$D92)))/$E92,0)</f>
        <v>0</v>
      </c>
      <c r="N92" s="42">
        <f>IFERROR(SUMPRODUCT(('Бюджет на запуск'!$D$128:$D$138)*('Бюджет на запуск'!N$128:N$138)*(('Бюджет на запуск'!$C$128:$C$138=Расчет!$D92)))/$E92,0)</f>
        <v>0</v>
      </c>
      <c r="O92" s="42">
        <f>IFERROR(SUMPRODUCT(('Бюджет на запуск'!$D$128:$D$138)*('Бюджет на запуск'!O$128:O$138)*(('Бюджет на запуск'!$C$128:$C$138=Расчет!$D92)))/$E92,0)</f>
        <v>0</v>
      </c>
      <c r="P92" s="42">
        <f>IFERROR(SUMPRODUCT(('Бюджет на запуск'!$D$128:$D$138)*('Бюджет на запуск'!P$128:P$138)*(('Бюджет на запуск'!$C$128:$C$138=Расчет!$D92)))/$E92,0)</f>
        <v>0</v>
      </c>
      <c r="Q92" s="42">
        <f>IFERROR(SUMPRODUCT(('Бюджет на запуск'!$D$128:$D$138)*('Бюджет на запуск'!Q$128:Q$138)*(('Бюджет на запуск'!$C$128:$C$138=Расчет!$D92)))/$E92,0)</f>
        <v>0</v>
      </c>
      <c r="R92" s="42">
        <f>IFERROR(SUMPRODUCT(('Бюджет на запуск'!$D$128:$D$138)*('Бюджет на запуск'!R$128:R$138)*(('Бюджет на запуск'!$C$128:$C$138=Расчет!$D92)))/$E92,0)</f>
        <v>0</v>
      </c>
      <c r="S92" s="42">
        <f>IFERROR(SUMPRODUCT(('Бюджет на запуск'!$D$128:$D$138)*('Бюджет на запуск'!S$128:S$138)*(('Бюджет на запуск'!$C$128:$C$138=Расчет!$D92)))/$E92,0)</f>
        <v>0</v>
      </c>
    </row>
    <row r="93" spans="1:19" s="2" customFormat="1" ht="16.5" x14ac:dyDescent="0.3">
      <c r="A93" s="223"/>
      <c r="B93" s="223"/>
      <c r="C93" s="200" t="str">
        <f>"Создание сайта на языке страны экспорта"&amp;" в "&amp;D93</f>
        <v>Создание сайта на языке страны экспорта в AED</v>
      </c>
      <c r="D93" s="229" t="str">
        <f>'Бюджет на запуск'!$I$3</f>
        <v>AED</v>
      </c>
      <c r="E93" s="230">
        <f>SUMIF('Бюджет на запуск'!$C$128:$C$138,Расчет!$D93,'Бюджет на запуск'!$D$128:$D$138)</f>
        <v>0</v>
      </c>
      <c r="F93" s="231">
        <f>IFERROR(SUMPRODUCT(('Бюджет на запуск'!$D$128:$D$138)*('Бюджет на запуск'!$E$128:$E$138)*(('Бюджет на запуск'!$C$128:$C$138=Расчет!$D93)))/$E93,0)</f>
        <v>0</v>
      </c>
      <c r="G93" s="232">
        <f t="shared" si="55"/>
        <v>1</v>
      </c>
      <c r="H93" s="42">
        <f>IFERROR(SUMPRODUCT(('Бюджет на запуск'!$D$128:$D$138)*('Бюджет на запуск'!H$128:H$138)*(('Бюджет на запуск'!$C$128:$C$138=Расчет!$D93)))/$E93,0)</f>
        <v>0</v>
      </c>
      <c r="I93" s="42">
        <f>IFERROR(SUMPRODUCT(('Бюджет на запуск'!$D$128:$D$138)*('Бюджет на запуск'!I$128:I$138)*(('Бюджет на запуск'!$C$128:$C$138=Расчет!$D93)))/$E93,0)</f>
        <v>0</v>
      </c>
      <c r="J93" s="42">
        <f>IFERROR(SUMPRODUCT(('Бюджет на запуск'!$D$128:$D$138)*('Бюджет на запуск'!J$128:J$138)*(('Бюджет на запуск'!$C$128:$C$138=Расчет!$D93)))/$E93,0)</f>
        <v>0</v>
      </c>
      <c r="K93" s="42">
        <f>IFERROR(SUMPRODUCT(('Бюджет на запуск'!$D$128:$D$138)*('Бюджет на запуск'!K$128:K$138)*(('Бюджет на запуск'!$C$128:$C$138=Расчет!$D93)))/$E93,0)</f>
        <v>0</v>
      </c>
      <c r="L93" s="42">
        <f>IFERROR(SUMPRODUCT(('Бюджет на запуск'!$D$128:$D$138)*('Бюджет на запуск'!L$128:L$138)*(('Бюджет на запуск'!$C$128:$C$138=Расчет!$D93)))/$E93,0)</f>
        <v>0</v>
      </c>
      <c r="M93" s="42">
        <f>IFERROR(SUMPRODUCT(('Бюджет на запуск'!$D$128:$D$138)*('Бюджет на запуск'!M$128:M$138)*(('Бюджет на запуск'!$C$128:$C$138=Расчет!$D93)))/$E93,0)</f>
        <v>0</v>
      </c>
      <c r="N93" s="42">
        <f>IFERROR(SUMPRODUCT(('Бюджет на запуск'!$D$128:$D$138)*('Бюджет на запуск'!N$128:N$138)*(('Бюджет на запуск'!$C$128:$C$138=Расчет!$D93)))/$E93,0)</f>
        <v>0</v>
      </c>
      <c r="O93" s="42">
        <f>IFERROR(SUMPRODUCT(('Бюджет на запуск'!$D$128:$D$138)*('Бюджет на запуск'!O$128:O$138)*(('Бюджет на запуск'!$C$128:$C$138=Расчет!$D93)))/$E93,0)</f>
        <v>0</v>
      </c>
      <c r="P93" s="42">
        <f>IFERROR(SUMPRODUCT(('Бюджет на запуск'!$D$128:$D$138)*('Бюджет на запуск'!P$128:P$138)*(('Бюджет на запуск'!$C$128:$C$138=Расчет!$D93)))/$E93,0)</f>
        <v>0</v>
      </c>
      <c r="Q93" s="42">
        <f>IFERROR(SUMPRODUCT(('Бюджет на запуск'!$D$128:$D$138)*('Бюджет на запуск'!Q$128:Q$138)*(('Бюджет на запуск'!$C$128:$C$138=Расчет!$D93)))/$E93,0)</f>
        <v>0</v>
      </c>
      <c r="R93" s="42">
        <f>IFERROR(SUMPRODUCT(('Бюджет на запуск'!$D$128:$D$138)*('Бюджет на запуск'!R$128:R$138)*(('Бюджет на запуск'!$C$128:$C$138=Расчет!$D93)))/$E93,0)</f>
        <v>0</v>
      </c>
      <c r="S93" s="42">
        <f>IFERROR(SUMPRODUCT(('Бюджет на запуск'!$D$128:$D$138)*('Бюджет на запуск'!S$128:S$138)*(('Бюджет на запуск'!$C$128:$C$138=Расчет!$D93)))/$E93,0)</f>
        <v>0</v>
      </c>
    </row>
    <row r="94" spans="1:19" s="2" customFormat="1" ht="16.5" x14ac:dyDescent="0.3">
      <c r="A94" s="223"/>
      <c r="B94" s="223"/>
      <c r="C94" s="200" t="str">
        <f t="shared" ref="C94" si="59">"Создание сайта на языке страны экспорта"&amp;" в "&amp;D94</f>
        <v>Создание сайта на языке страны экспорта в USD</v>
      </c>
      <c r="D94" s="229" t="str">
        <f>'Бюджет на запуск'!$J$3</f>
        <v>USD</v>
      </c>
      <c r="E94" s="230">
        <f>SUMIF('Бюджет на запуск'!$C$128:$C$138,Расчет!$D94,'Бюджет на запуск'!$D$128:$D$138)</f>
        <v>3000</v>
      </c>
      <c r="F94" s="231">
        <f>IFERROR(SUMPRODUCT(('Бюджет на запуск'!$D$128:$D$138)*('Бюджет на запуск'!$E$128:$E$138)*(('Бюджет на запуск'!$C$128:$C$138=Расчет!$D94)))/$E94,0)</f>
        <v>0.13333333333333333</v>
      </c>
      <c r="G94" s="232">
        <f t="shared" si="55"/>
        <v>1</v>
      </c>
      <c r="H94" s="42">
        <f>IFERROR(SUMPRODUCT(('Бюджет на запуск'!$D$128:$D$138)*('Бюджет на запуск'!H$128:H$138)*(('Бюджет на запуск'!$C$128:$C$138=Расчет!$D94)))/$E94,0)</f>
        <v>8.3333333333333329E-2</v>
      </c>
      <c r="I94" s="42">
        <f>IFERROR(SUMPRODUCT(('Бюджет на запуск'!$D$128:$D$138)*('Бюджет на запуск'!I$128:I$138)*(('Бюджет на запуск'!$C$128:$C$138=Расчет!$D94)))/$E94,0)</f>
        <v>8.3333333333333329E-2</v>
      </c>
      <c r="J94" s="42">
        <f>IFERROR(SUMPRODUCT(('Бюджет на запуск'!$D$128:$D$138)*('Бюджет на запуск'!J$128:J$138)*(('Бюджет на запуск'!$C$128:$C$138=Расчет!$D94)))/$E94,0)</f>
        <v>0.125</v>
      </c>
      <c r="K94" s="42">
        <f>IFERROR(SUMPRODUCT(('Бюджет на запуск'!$D$128:$D$138)*('Бюджет на запуск'!K$128:K$138)*(('Бюджет на запуск'!$C$128:$C$138=Расчет!$D94)))/$E94,0)</f>
        <v>0.125</v>
      </c>
      <c r="L94" s="42">
        <f>IFERROR(SUMPRODUCT(('Бюджет на запуск'!$D$128:$D$138)*('Бюджет на запуск'!L$128:L$138)*(('Бюджет на запуск'!$C$128:$C$138=Расчет!$D94)))/$E94,0)</f>
        <v>0.25833333333333336</v>
      </c>
      <c r="M94" s="42">
        <f>IFERROR(SUMPRODUCT(('Бюджет на запуск'!$D$128:$D$138)*('Бюджет на запуск'!M$128:M$138)*(('Бюджет на запуск'!$C$128:$C$138=Расчет!$D94)))/$E94,0)</f>
        <v>0.32500000000000001</v>
      </c>
      <c r="N94" s="42">
        <f>IFERROR(SUMPRODUCT(('Бюджет на запуск'!$D$128:$D$138)*('Бюджет на запуск'!N$128:N$138)*(('Бюджет на запуск'!$C$128:$C$138=Расчет!$D94)))/$E94,0)</f>
        <v>0</v>
      </c>
      <c r="O94" s="42">
        <f>IFERROR(SUMPRODUCT(('Бюджет на запуск'!$D$128:$D$138)*('Бюджет на запуск'!O$128:O$138)*(('Бюджет на запуск'!$C$128:$C$138=Расчет!$D94)))/$E94,0)</f>
        <v>0</v>
      </c>
      <c r="P94" s="42">
        <f>IFERROR(SUMPRODUCT(('Бюджет на запуск'!$D$128:$D$138)*('Бюджет на запуск'!P$128:P$138)*(('Бюджет на запуск'!$C$128:$C$138=Расчет!$D94)))/$E94,0)</f>
        <v>0</v>
      </c>
      <c r="Q94" s="42">
        <f>IFERROR(SUMPRODUCT(('Бюджет на запуск'!$D$128:$D$138)*('Бюджет на запуск'!Q$128:Q$138)*(('Бюджет на запуск'!$C$128:$C$138=Расчет!$D94)))/$E94,0)</f>
        <v>0</v>
      </c>
      <c r="R94" s="42">
        <f>IFERROR(SUMPRODUCT(('Бюджет на запуск'!$D$128:$D$138)*('Бюджет на запуск'!R$128:R$138)*(('Бюджет на запуск'!$C$128:$C$138=Расчет!$D94)))/$E94,0)</f>
        <v>0</v>
      </c>
      <c r="S94" s="42">
        <f>IFERROR(SUMPRODUCT(('Бюджет на запуск'!$D$128:$D$138)*('Бюджет на запуск'!S$128:S$138)*(('Бюджет на запуск'!$C$128:$C$138=Расчет!$D94)))/$E94,0)</f>
        <v>0</v>
      </c>
    </row>
    <row r="95" spans="1:19" s="2" customFormat="1" ht="16.5" x14ac:dyDescent="0.3">
      <c r="A95" s="223"/>
      <c r="B95" s="223"/>
      <c r="C95" s="200" t="str">
        <f>"Создание сайта на языке страны экспорта"&amp;" в "&amp;D95</f>
        <v>Создание сайта на языке страны экспорта в CNY</v>
      </c>
      <c r="D95" s="229" t="str">
        <f>'Бюджет на запуск'!$K$3</f>
        <v>CNY</v>
      </c>
      <c r="E95" s="230">
        <f>SUMIF('Бюджет на запуск'!$C$128:$C$138,Расчет!$D95,'Бюджет на запуск'!$D$128:$D$138)</f>
        <v>0</v>
      </c>
      <c r="F95" s="231">
        <f>IFERROR(SUMPRODUCT(('Бюджет на запуск'!$D$128:$D$138)*('Бюджет на запуск'!$E$128:$E$138)*(('Бюджет на запуск'!$C$128:$C$138=Расчет!$D95)))/$E95,0)</f>
        <v>0</v>
      </c>
      <c r="G95" s="232">
        <f t="shared" si="55"/>
        <v>1</v>
      </c>
      <c r="H95" s="42">
        <f>IFERROR(SUMPRODUCT(('Бюджет на запуск'!$D$128:$D$138)*('Бюджет на запуск'!H$128:H$138)*(('Бюджет на запуск'!$C$128:$C$138=Расчет!$D95)))/$E95,0)</f>
        <v>0</v>
      </c>
      <c r="I95" s="42">
        <f>IFERROR(SUMPRODUCT(('Бюджет на запуск'!$D$128:$D$138)*('Бюджет на запуск'!I$128:I$138)*(('Бюджет на запуск'!$C$128:$C$138=Расчет!$D95)))/$E95,0)</f>
        <v>0</v>
      </c>
      <c r="J95" s="42">
        <f>IFERROR(SUMPRODUCT(('Бюджет на запуск'!$D$128:$D$138)*('Бюджет на запуск'!J$128:J$138)*(('Бюджет на запуск'!$C$128:$C$138=Расчет!$D95)))/$E95,0)</f>
        <v>0</v>
      </c>
      <c r="K95" s="42">
        <f>IFERROR(SUMPRODUCT(('Бюджет на запуск'!$D$128:$D$138)*('Бюджет на запуск'!K$128:K$138)*(('Бюджет на запуск'!$C$128:$C$138=Расчет!$D95)))/$E95,0)</f>
        <v>0</v>
      </c>
      <c r="L95" s="42">
        <f>IFERROR(SUMPRODUCT(('Бюджет на запуск'!$D$128:$D$138)*('Бюджет на запуск'!L$128:L$138)*(('Бюджет на запуск'!$C$128:$C$138=Расчет!$D95)))/$E95,0)</f>
        <v>0</v>
      </c>
      <c r="M95" s="42">
        <f>IFERROR(SUMPRODUCT(('Бюджет на запуск'!$D$128:$D$138)*('Бюджет на запуск'!M$128:M$138)*(('Бюджет на запуск'!$C$128:$C$138=Расчет!$D95)))/$E95,0)</f>
        <v>0</v>
      </c>
      <c r="N95" s="42">
        <f>IFERROR(SUMPRODUCT(('Бюджет на запуск'!$D$128:$D$138)*('Бюджет на запуск'!N$128:N$138)*(('Бюджет на запуск'!$C$128:$C$138=Расчет!$D95)))/$E95,0)</f>
        <v>0</v>
      </c>
      <c r="O95" s="42">
        <f>IFERROR(SUMPRODUCT(('Бюджет на запуск'!$D$128:$D$138)*('Бюджет на запуск'!O$128:O$138)*(('Бюджет на запуск'!$C$128:$C$138=Расчет!$D95)))/$E95,0)</f>
        <v>0</v>
      </c>
      <c r="P95" s="42">
        <f>IFERROR(SUMPRODUCT(('Бюджет на запуск'!$D$128:$D$138)*('Бюджет на запуск'!P$128:P$138)*(('Бюджет на запуск'!$C$128:$C$138=Расчет!$D95)))/$E95,0)</f>
        <v>0</v>
      </c>
      <c r="Q95" s="42">
        <f>IFERROR(SUMPRODUCT(('Бюджет на запуск'!$D$128:$D$138)*('Бюджет на запуск'!Q$128:Q$138)*(('Бюджет на запуск'!$C$128:$C$138=Расчет!$D95)))/$E95,0)</f>
        <v>0</v>
      </c>
      <c r="R95" s="42">
        <f>IFERROR(SUMPRODUCT(('Бюджет на запуск'!$D$128:$D$138)*('Бюджет на запуск'!R$128:R$138)*(('Бюджет на запуск'!$C$128:$C$138=Расчет!$D95)))/$E95,0)</f>
        <v>0</v>
      </c>
      <c r="S95" s="42">
        <f>IFERROR(SUMPRODUCT(('Бюджет на запуск'!$D$128:$D$138)*('Бюджет на запуск'!S$128:S$138)*(('Бюджет на запуск'!$C$128:$C$138=Расчет!$D95)))/$E95,0)</f>
        <v>0</v>
      </c>
    </row>
    <row r="96" spans="1:19" s="2" customFormat="1" ht="16.5" x14ac:dyDescent="0.3">
      <c r="A96" s="223"/>
      <c r="B96" s="223"/>
      <c r="C96" s="234" t="str">
        <f>"Подготовка рекламных материалов"&amp;" в "&amp;D96</f>
        <v>Подготовка рекламных материалов в RUB</v>
      </c>
      <c r="D96" s="229" t="str">
        <f>'Бюджет на запуск'!$H$3</f>
        <v>RUB</v>
      </c>
      <c r="E96" s="230">
        <f>SUMIF('Бюджет на запуск'!$C$141:$C$147,Расчет!$D96,'Бюджет на запуск'!$D$141:$D$147)</f>
        <v>2000000</v>
      </c>
      <c r="F96" s="231">
        <f>IFERROR(SUMPRODUCT(('Бюджет на запуск'!$D$141:$D$147)*('Бюджет на запуск'!$E$141:$E$147)*(('Бюджет на запуск'!$C$141:$C$147=Расчет!$D96)))/$E96,0)</f>
        <v>0.2</v>
      </c>
      <c r="G96" s="232">
        <f t="shared" si="55"/>
        <v>1</v>
      </c>
      <c r="H96" s="42">
        <f>IFERROR(SUMPRODUCT(('Бюджет на запуск'!$D$141:$D$147)*('Бюджет на запуск'!H$141:H$147)*(('Бюджет на запуск'!$C$141:$C$147=Расчет!$D96)))/$E96,0)</f>
        <v>0.25</v>
      </c>
      <c r="I96" s="42">
        <f>IFERROR(SUMPRODUCT(('Бюджет на запуск'!$D$141:$D$147)*('Бюджет на запуск'!I$141:I$147)*(('Бюджет на запуск'!$C$141:$C$147=Расчет!$D96)))/$E96,0)</f>
        <v>8.3333333333333329E-2</v>
      </c>
      <c r="J96" s="42">
        <f>IFERROR(SUMPRODUCT(('Бюджет на запуск'!$D$141:$D$147)*('Бюджет на запуск'!J$141:J$147)*(('Бюджет на запуск'!$C$141:$C$147=Расчет!$D96)))/$E96,0)</f>
        <v>0.25</v>
      </c>
      <c r="K96" s="42">
        <f>IFERROR(SUMPRODUCT(('Бюджет на запуск'!$D$141:$D$147)*('Бюджет на запуск'!K$141:K$147)*(('Бюджет на запуск'!$C$141:$C$147=Расчет!$D96)))/$E96,0)</f>
        <v>8.3333333333333329E-2</v>
      </c>
      <c r="L96" s="42">
        <f>IFERROR(SUMPRODUCT(('Бюджет на запуск'!$D$141:$D$147)*('Бюджет на запуск'!L$141:L$147)*(('Бюджет на запуск'!$C$141:$C$147=Расчет!$D96)))/$E96,0)</f>
        <v>0.25</v>
      </c>
      <c r="M96" s="42">
        <f>IFERROR(SUMPRODUCT(('Бюджет на запуск'!$D$141:$D$147)*('Бюджет на запуск'!M$141:M$147)*(('Бюджет на запуск'!$C$141:$C$147=Расчет!$D96)))/$E96,0)</f>
        <v>8.3333333333333329E-2</v>
      </c>
      <c r="N96" s="42">
        <f>IFERROR(SUMPRODUCT(('Бюджет на запуск'!$D$141:$D$147)*('Бюджет на запуск'!N$141:N$147)*(('Бюджет на запуск'!$C$141:$C$147=Расчет!$D96)))/$E96,0)</f>
        <v>0</v>
      </c>
      <c r="O96" s="42">
        <f>IFERROR(SUMPRODUCT(('Бюджет на запуск'!$D$141:$D$147)*('Бюджет на запуск'!O$141:O$147)*(('Бюджет на запуск'!$C$141:$C$147=Расчет!$D96)))/$E96,0)</f>
        <v>0</v>
      </c>
      <c r="P96" s="42">
        <f>IFERROR(SUMPRODUCT(('Бюджет на запуск'!$D$141:$D$147)*('Бюджет на запуск'!P$141:P$147)*(('Бюджет на запуск'!$C$141:$C$147=Расчет!$D96)))/$E96,0)</f>
        <v>0</v>
      </c>
      <c r="Q96" s="42">
        <f>IFERROR(SUMPRODUCT(('Бюджет на запуск'!$D$141:$D$147)*('Бюджет на запуск'!Q$141:Q$147)*(('Бюджет на запуск'!$C$141:$C$147=Расчет!$D96)))/$E96,0)</f>
        <v>0</v>
      </c>
      <c r="R96" s="42">
        <f>IFERROR(SUMPRODUCT(('Бюджет на запуск'!$D$141:$D$147)*('Бюджет на запуск'!R$141:R$147)*(('Бюджет на запуск'!$C$141:$C$147=Расчет!$D96)))/$E96,0)</f>
        <v>0</v>
      </c>
      <c r="S96" s="42">
        <f>IFERROR(SUMPRODUCT(('Бюджет на запуск'!$D$141:$D$147)*('Бюджет на запуск'!S$141:S$147)*(('Бюджет на запуск'!$C$141:$C$147=Расчет!$D96)))/$E96,0)</f>
        <v>0</v>
      </c>
    </row>
    <row r="97" spans="1:19" s="2" customFormat="1" ht="16.5" x14ac:dyDescent="0.3">
      <c r="A97" s="223"/>
      <c r="B97" s="223"/>
      <c r="C97" s="234" t="str">
        <f t="shared" ref="C97:C98" si="60">"Подготовка рекламных материалов"&amp;" в "&amp;D97</f>
        <v>Подготовка рекламных материалов в AED</v>
      </c>
      <c r="D97" s="229" t="str">
        <f>'Бюджет на запуск'!$I$3</f>
        <v>AED</v>
      </c>
      <c r="E97" s="230">
        <f>SUMIF('Бюджет на запуск'!$C$141:$C$147,Расчет!$D97,'Бюджет на запуск'!$D$141:$D$147)</f>
        <v>0</v>
      </c>
      <c r="F97" s="231">
        <f>IFERROR(SUMPRODUCT(('Бюджет на запуск'!$D$141:$D$147)*('Бюджет на запуск'!$E$141:$E$147)*(('Бюджет на запуск'!$C$141:$C$147=Расчет!$D97)))/$E97,0)</f>
        <v>0</v>
      </c>
      <c r="G97" s="232">
        <f t="shared" si="55"/>
        <v>1</v>
      </c>
      <c r="H97" s="42">
        <f>IFERROR(SUMPRODUCT(('Бюджет на запуск'!$D$141:$D$147)*('Бюджет на запуск'!H$141:H$147)*(('Бюджет на запуск'!$C$141:$C$147=Расчет!$D97)))/$E97,0)</f>
        <v>0</v>
      </c>
      <c r="I97" s="42">
        <f>IFERROR(SUMPRODUCT(('Бюджет на запуск'!$D$141:$D$147)*('Бюджет на запуск'!I$141:I$147)*(('Бюджет на запуск'!$C$141:$C$147=Расчет!$D97)))/$E97,0)</f>
        <v>0</v>
      </c>
      <c r="J97" s="42">
        <f>IFERROR(SUMPRODUCT(('Бюджет на запуск'!$D$141:$D$147)*('Бюджет на запуск'!J$141:J$147)*(('Бюджет на запуск'!$C$141:$C$147=Расчет!$D97)))/$E97,0)</f>
        <v>0</v>
      </c>
      <c r="K97" s="42">
        <f>IFERROR(SUMPRODUCT(('Бюджет на запуск'!$D$141:$D$147)*('Бюджет на запуск'!K$141:K$147)*(('Бюджет на запуск'!$C$141:$C$147=Расчет!$D97)))/$E97,0)</f>
        <v>0</v>
      </c>
      <c r="L97" s="42">
        <f>IFERROR(SUMPRODUCT(('Бюджет на запуск'!$D$141:$D$147)*('Бюджет на запуск'!L$141:L$147)*(('Бюджет на запуск'!$C$141:$C$147=Расчет!$D97)))/$E97,0)</f>
        <v>0</v>
      </c>
      <c r="M97" s="42">
        <f>IFERROR(SUMPRODUCT(('Бюджет на запуск'!$D$141:$D$147)*('Бюджет на запуск'!M$141:M$147)*(('Бюджет на запуск'!$C$141:$C$147=Расчет!$D97)))/$E97,0)</f>
        <v>0</v>
      </c>
      <c r="N97" s="42">
        <f>IFERROR(SUMPRODUCT(('Бюджет на запуск'!$D$141:$D$147)*('Бюджет на запуск'!N$141:N$147)*(('Бюджет на запуск'!$C$141:$C$147=Расчет!$D97)))/$E97,0)</f>
        <v>0</v>
      </c>
      <c r="O97" s="42">
        <f>IFERROR(SUMPRODUCT(('Бюджет на запуск'!$D$141:$D$147)*('Бюджет на запуск'!O$141:O$147)*(('Бюджет на запуск'!$C$141:$C$147=Расчет!$D97)))/$E97,0)</f>
        <v>0</v>
      </c>
      <c r="P97" s="42">
        <f>IFERROR(SUMPRODUCT(('Бюджет на запуск'!$D$141:$D$147)*('Бюджет на запуск'!P$141:P$147)*(('Бюджет на запуск'!$C$141:$C$147=Расчет!$D97)))/$E97,0)</f>
        <v>0</v>
      </c>
      <c r="Q97" s="42">
        <f>IFERROR(SUMPRODUCT(('Бюджет на запуск'!$D$141:$D$147)*('Бюджет на запуск'!Q$141:Q$147)*(('Бюджет на запуск'!$C$141:$C$147=Расчет!$D97)))/$E97,0)</f>
        <v>0</v>
      </c>
      <c r="R97" s="42">
        <f>IFERROR(SUMPRODUCT(('Бюджет на запуск'!$D$141:$D$147)*('Бюджет на запуск'!R$141:R$147)*(('Бюджет на запуск'!$C$141:$C$147=Расчет!$D97)))/$E97,0)</f>
        <v>0</v>
      </c>
      <c r="S97" s="42">
        <f>IFERROR(SUMPRODUCT(('Бюджет на запуск'!$D$141:$D$147)*('Бюджет на запуск'!S$141:S$147)*(('Бюджет на запуск'!$C$141:$C$147=Расчет!$D97)))/$E97,0)</f>
        <v>0</v>
      </c>
    </row>
    <row r="98" spans="1:19" s="2" customFormat="1" ht="16.5" x14ac:dyDescent="0.3">
      <c r="A98" s="223"/>
      <c r="B98" s="223"/>
      <c r="C98" s="234" t="str">
        <f t="shared" si="60"/>
        <v>Подготовка рекламных материалов в USD</v>
      </c>
      <c r="D98" s="229" t="str">
        <f>'Бюджет на запуск'!$J$3</f>
        <v>USD</v>
      </c>
      <c r="E98" s="230">
        <f>SUMIF('Бюджет на запуск'!$C$141:$C$147,Расчет!$D98,'Бюджет на запуск'!$D$141:$D$147)</f>
        <v>0</v>
      </c>
      <c r="F98" s="231">
        <f>IFERROR(SUMPRODUCT(('Бюджет на запуск'!$D$141:$D$147)*('Бюджет на запуск'!$E$141:$E$147)*(('Бюджет на запуск'!$C$141:$C$147=Расчет!$D98)))/$E98,0)</f>
        <v>0</v>
      </c>
      <c r="G98" s="232">
        <f t="shared" si="55"/>
        <v>1</v>
      </c>
      <c r="H98" s="42">
        <f>IFERROR(SUMPRODUCT(('Бюджет на запуск'!$D$141:$D$147)*('Бюджет на запуск'!H$141:H$147)*(('Бюджет на запуск'!$C$141:$C$147=Расчет!$D98)))/$E98,0)</f>
        <v>0</v>
      </c>
      <c r="I98" s="42">
        <f>IFERROR(SUMPRODUCT(('Бюджет на запуск'!$D$141:$D$147)*('Бюджет на запуск'!I$141:I$147)*(('Бюджет на запуск'!$C$141:$C$147=Расчет!$D98)))/$E98,0)</f>
        <v>0</v>
      </c>
      <c r="J98" s="42">
        <f>IFERROR(SUMPRODUCT(('Бюджет на запуск'!$D$141:$D$147)*('Бюджет на запуск'!J$141:J$147)*(('Бюджет на запуск'!$C$141:$C$147=Расчет!$D98)))/$E98,0)</f>
        <v>0</v>
      </c>
      <c r="K98" s="42">
        <f>IFERROR(SUMPRODUCT(('Бюджет на запуск'!$D$141:$D$147)*('Бюджет на запуск'!K$141:K$147)*(('Бюджет на запуск'!$C$141:$C$147=Расчет!$D98)))/$E98,0)</f>
        <v>0</v>
      </c>
      <c r="L98" s="42">
        <f>IFERROR(SUMPRODUCT(('Бюджет на запуск'!$D$141:$D$147)*('Бюджет на запуск'!L$141:L$147)*(('Бюджет на запуск'!$C$141:$C$147=Расчет!$D98)))/$E98,0)</f>
        <v>0</v>
      </c>
      <c r="M98" s="42">
        <f>IFERROR(SUMPRODUCT(('Бюджет на запуск'!$D$141:$D$147)*('Бюджет на запуск'!M$141:M$147)*(('Бюджет на запуск'!$C$141:$C$147=Расчет!$D98)))/$E98,0)</f>
        <v>0</v>
      </c>
      <c r="N98" s="42">
        <f>IFERROR(SUMPRODUCT(('Бюджет на запуск'!$D$141:$D$147)*('Бюджет на запуск'!N$141:N$147)*(('Бюджет на запуск'!$C$141:$C$147=Расчет!$D98)))/$E98,0)</f>
        <v>0</v>
      </c>
      <c r="O98" s="42">
        <f>IFERROR(SUMPRODUCT(('Бюджет на запуск'!$D$141:$D$147)*('Бюджет на запуск'!O$141:O$147)*(('Бюджет на запуск'!$C$141:$C$147=Расчет!$D98)))/$E98,0)</f>
        <v>0</v>
      </c>
      <c r="P98" s="42">
        <f>IFERROR(SUMPRODUCT(('Бюджет на запуск'!$D$141:$D$147)*('Бюджет на запуск'!P$141:P$147)*(('Бюджет на запуск'!$C$141:$C$147=Расчет!$D98)))/$E98,0)</f>
        <v>0</v>
      </c>
      <c r="Q98" s="42">
        <f>IFERROR(SUMPRODUCT(('Бюджет на запуск'!$D$141:$D$147)*('Бюджет на запуск'!Q$141:Q$147)*(('Бюджет на запуск'!$C$141:$C$147=Расчет!$D98)))/$E98,0)</f>
        <v>0</v>
      </c>
      <c r="R98" s="42">
        <f>IFERROR(SUMPRODUCT(('Бюджет на запуск'!$D$141:$D$147)*('Бюджет на запуск'!R$141:R$147)*(('Бюджет на запуск'!$C$141:$C$147=Расчет!$D98)))/$E98,0)</f>
        <v>0</v>
      </c>
      <c r="S98" s="42">
        <f>IFERROR(SUMPRODUCT(('Бюджет на запуск'!$D$141:$D$147)*('Бюджет на запуск'!S$141:S$147)*(('Бюджет на запуск'!$C$141:$C$147=Расчет!$D98)))/$E98,0)</f>
        <v>0</v>
      </c>
    </row>
    <row r="99" spans="1:19" s="2" customFormat="1" ht="16.5" x14ac:dyDescent="0.3">
      <c r="A99" s="223"/>
      <c r="B99" s="223"/>
      <c r="C99" s="234" t="str">
        <f>"Подготовка рекламных материалов"&amp;" в "&amp;D99</f>
        <v>Подготовка рекламных материалов в CNY</v>
      </c>
      <c r="D99" s="229" t="str">
        <f>'Бюджет на запуск'!$K$3</f>
        <v>CNY</v>
      </c>
      <c r="E99" s="230">
        <f>SUMIF('Бюджет на запуск'!$C$141:$C$147,Расчет!$D99,'Бюджет на запуск'!$D$141:$D$147)</f>
        <v>0</v>
      </c>
      <c r="F99" s="231">
        <f>IFERROR(SUMPRODUCT(('Бюджет на запуск'!$D$141:$D$147)*('Бюджет на запуск'!$E$141:$E$147)*(('Бюджет на запуск'!$C$141:$C$147=Расчет!$D99)))/$E99,0)</f>
        <v>0</v>
      </c>
      <c r="G99" s="232">
        <f t="shared" si="55"/>
        <v>1</v>
      </c>
      <c r="H99" s="42">
        <f>IFERROR(SUMPRODUCT(('Бюджет на запуск'!$D$141:$D$147)*('Бюджет на запуск'!H$141:H$147)*(('Бюджет на запуск'!$C$141:$C$147=Расчет!$D99)))/$E99,0)</f>
        <v>0</v>
      </c>
      <c r="I99" s="42">
        <f>IFERROR(SUMPRODUCT(('Бюджет на запуск'!$D$141:$D$147)*('Бюджет на запуск'!I$141:I$147)*(('Бюджет на запуск'!$C$141:$C$147=Расчет!$D99)))/$E99,0)</f>
        <v>0</v>
      </c>
      <c r="J99" s="42">
        <f>IFERROR(SUMPRODUCT(('Бюджет на запуск'!$D$141:$D$147)*('Бюджет на запуск'!J$141:J$147)*(('Бюджет на запуск'!$C$141:$C$147=Расчет!$D99)))/$E99,0)</f>
        <v>0</v>
      </c>
      <c r="K99" s="42">
        <f>IFERROR(SUMPRODUCT(('Бюджет на запуск'!$D$141:$D$147)*('Бюджет на запуск'!K$141:K$147)*(('Бюджет на запуск'!$C$141:$C$147=Расчет!$D99)))/$E99,0)</f>
        <v>0</v>
      </c>
      <c r="L99" s="42">
        <f>IFERROR(SUMPRODUCT(('Бюджет на запуск'!$D$141:$D$147)*('Бюджет на запуск'!L$141:L$147)*(('Бюджет на запуск'!$C$141:$C$147=Расчет!$D99)))/$E99,0)</f>
        <v>0</v>
      </c>
      <c r="M99" s="42">
        <f>IFERROR(SUMPRODUCT(('Бюджет на запуск'!$D$141:$D$147)*('Бюджет на запуск'!M$141:M$147)*(('Бюджет на запуск'!$C$141:$C$147=Расчет!$D99)))/$E99,0)</f>
        <v>0</v>
      </c>
      <c r="N99" s="42">
        <f>IFERROR(SUMPRODUCT(('Бюджет на запуск'!$D$141:$D$147)*('Бюджет на запуск'!N$141:N$147)*(('Бюджет на запуск'!$C$141:$C$147=Расчет!$D99)))/$E99,0)</f>
        <v>0</v>
      </c>
      <c r="O99" s="42">
        <f>IFERROR(SUMPRODUCT(('Бюджет на запуск'!$D$141:$D$147)*('Бюджет на запуск'!O$141:O$147)*(('Бюджет на запуск'!$C$141:$C$147=Расчет!$D99)))/$E99,0)</f>
        <v>0</v>
      </c>
      <c r="P99" s="42">
        <f>IFERROR(SUMPRODUCT(('Бюджет на запуск'!$D$141:$D$147)*('Бюджет на запуск'!P$141:P$147)*(('Бюджет на запуск'!$C$141:$C$147=Расчет!$D99)))/$E99,0)</f>
        <v>0</v>
      </c>
      <c r="Q99" s="42">
        <f>IFERROR(SUMPRODUCT(('Бюджет на запуск'!$D$141:$D$147)*('Бюджет на запуск'!Q$141:Q$147)*(('Бюджет на запуск'!$C$141:$C$147=Расчет!$D99)))/$E99,0)</f>
        <v>0</v>
      </c>
      <c r="R99" s="42">
        <f>IFERROR(SUMPRODUCT(('Бюджет на запуск'!$D$141:$D$147)*('Бюджет на запуск'!R$141:R$147)*(('Бюджет на запуск'!$C$141:$C$147=Расчет!$D99)))/$E99,0)</f>
        <v>0</v>
      </c>
      <c r="S99" s="42">
        <f>IFERROR(SUMPRODUCT(('Бюджет на запуск'!$D$141:$D$147)*('Бюджет на запуск'!S$141:S$147)*(('Бюджет на запуск'!$C$141:$C$147=Расчет!$D99)))/$E99,0)</f>
        <v>0</v>
      </c>
    </row>
    <row r="100" spans="1:19" s="2" customFormat="1" ht="16.5" x14ac:dyDescent="0.3">
      <c r="A100" s="223"/>
      <c r="B100" s="223"/>
      <c r="C100" s="200" t="str">
        <f>"Услуги по найму дополнительного персонала"&amp;" в "&amp;D100</f>
        <v>Услуги по найму дополнительного персонала в RUB</v>
      </c>
      <c r="D100" s="229" t="str">
        <f>'Бюджет на запуск'!$H$3</f>
        <v>RUB</v>
      </c>
      <c r="E100" s="230">
        <f>SUMIF('Бюджет на запуск'!$C$150:$C$154,Расчет!$D100,'Бюджет на запуск'!$D$150:$D$154)</f>
        <v>0</v>
      </c>
      <c r="F100" s="231">
        <f>IFERROR(SUMPRODUCT(('Бюджет на запуск'!$D$150:$D$154)*('Бюджет на запуск'!$E$150:$E$154)*(('Бюджет на запуск'!$C$150:$C$154=Расчет!$D100)))/$E100,0)</f>
        <v>0</v>
      </c>
      <c r="G100" s="232">
        <f t="shared" si="55"/>
        <v>1</v>
      </c>
      <c r="H100" s="42">
        <f>IFERROR(SUMPRODUCT(('Бюджет на запуск'!$D$150:$D$154)*('Бюджет на запуск'!H$150:H$154)*(('Бюджет на запуск'!$C$150:$C$154=Расчет!$D100)))/$E100,0)</f>
        <v>0</v>
      </c>
      <c r="I100" s="42">
        <f>IFERROR(SUMPRODUCT(('Бюджет на запуск'!$D$150:$D$154)*('Бюджет на запуск'!I$150:I$154)*(('Бюджет на запуск'!$C$150:$C$154=Расчет!$D100)))/$E100,0)</f>
        <v>0</v>
      </c>
      <c r="J100" s="42">
        <f>IFERROR(SUMPRODUCT(('Бюджет на запуск'!$D$150:$D$154)*('Бюджет на запуск'!J$150:J$154)*(('Бюджет на запуск'!$C$150:$C$154=Расчет!$D100)))/$E100,0)</f>
        <v>0</v>
      </c>
      <c r="K100" s="42">
        <f>IFERROR(SUMPRODUCT(('Бюджет на запуск'!$D$150:$D$154)*('Бюджет на запуск'!K$150:K$154)*(('Бюджет на запуск'!$C$150:$C$154=Расчет!$D100)))/$E100,0)</f>
        <v>0</v>
      </c>
      <c r="L100" s="42">
        <f>IFERROR(SUMPRODUCT(('Бюджет на запуск'!$D$150:$D$154)*('Бюджет на запуск'!L$150:L$154)*(('Бюджет на запуск'!$C$150:$C$154=Расчет!$D100)))/$E100,0)</f>
        <v>0</v>
      </c>
      <c r="M100" s="42">
        <f>IFERROR(SUMPRODUCT(('Бюджет на запуск'!$D$150:$D$154)*('Бюджет на запуск'!M$150:M$154)*(('Бюджет на запуск'!$C$150:$C$154=Расчет!$D100)))/$E100,0)</f>
        <v>0</v>
      </c>
      <c r="N100" s="42">
        <f>IFERROR(SUMPRODUCT(('Бюджет на запуск'!$D$150:$D$154)*('Бюджет на запуск'!N$150:N$154)*(('Бюджет на запуск'!$C$150:$C$154=Расчет!$D100)))/$E100,0)</f>
        <v>0</v>
      </c>
      <c r="O100" s="42">
        <f>IFERROR(SUMPRODUCT(('Бюджет на запуск'!$D$150:$D$154)*('Бюджет на запуск'!O$150:O$154)*(('Бюджет на запуск'!$C$150:$C$154=Расчет!$D100)))/$E100,0)</f>
        <v>0</v>
      </c>
      <c r="P100" s="42">
        <f>IFERROR(SUMPRODUCT(('Бюджет на запуск'!$D$150:$D$154)*('Бюджет на запуск'!P$150:P$154)*(('Бюджет на запуск'!$C$150:$C$154=Расчет!$D100)))/$E100,0)</f>
        <v>0</v>
      </c>
      <c r="Q100" s="42">
        <f>IFERROR(SUMPRODUCT(('Бюджет на запуск'!$D$150:$D$154)*('Бюджет на запуск'!Q$150:Q$154)*(('Бюджет на запуск'!$C$150:$C$154=Расчет!$D100)))/$E100,0)</f>
        <v>0</v>
      </c>
      <c r="R100" s="42">
        <f>IFERROR(SUMPRODUCT(('Бюджет на запуск'!$D$150:$D$154)*('Бюджет на запуск'!R$150:R$154)*(('Бюджет на запуск'!$C$150:$C$154=Расчет!$D100)))/$E100,0)</f>
        <v>0</v>
      </c>
      <c r="S100" s="42">
        <f>IFERROR(SUMPRODUCT(('Бюджет на запуск'!$D$150:$D$154)*('Бюджет на запуск'!S$150:S$154)*(('Бюджет на запуск'!$C$150:$C$154=Расчет!$D100)))/$E100,0)</f>
        <v>0</v>
      </c>
    </row>
    <row r="101" spans="1:19" s="2" customFormat="1" ht="16.5" x14ac:dyDescent="0.3">
      <c r="A101" s="223"/>
      <c r="B101" s="223"/>
      <c r="C101" s="200" t="str">
        <f t="shared" ref="C101:C102" si="61">"Услуги по найму дополнительного персонала"&amp;" в "&amp;D101</f>
        <v>Услуги по найму дополнительного персонала в AED</v>
      </c>
      <c r="D101" s="229" t="str">
        <f>'Бюджет на запуск'!$I$3</f>
        <v>AED</v>
      </c>
      <c r="E101" s="230">
        <f>SUMIF('Бюджет на запуск'!$C$150:$C$154,Расчет!$D101,'Бюджет на запуск'!$D$150:$D$154)</f>
        <v>15000</v>
      </c>
      <c r="F101" s="231">
        <f>IFERROR(SUMPRODUCT(('Бюджет на запуск'!$D$150:$D$154)*('Бюджет на запуск'!$E$150:$E$154)*(('Бюджет на запуск'!$C$150:$C$154=Расчет!$D101)))/$E101,0)</f>
        <v>0</v>
      </c>
      <c r="G101" s="232">
        <f t="shared" si="55"/>
        <v>1</v>
      </c>
      <c r="H101" s="42">
        <f>IFERROR(SUMPRODUCT(('Бюджет на запуск'!$D$150:$D$154)*('Бюджет на запуск'!H$150:H$154)*(('Бюджет на запуск'!$C$150:$C$154=Расчет!$D101)))/$E101,0)</f>
        <v>0.33333333333333331</v>
      </c>
      <c r="I101" s="42">
        <f>IFERROR(SUMPRODUCT(('Бюджет на запуск'!$D$150:$D$154)*('Бюджет на запуск'!I$150:I$154)*(('Бюджет на запуск'!$C$150:$C$154=Расчет!$D101)))/$E101,0)</f>
        <v>0</v>
      </c>
      <c r="J101" s="42">
        <f>IFERROR(SUMPRODUCT(('Бюджет на запуск'!$D$150:$D$154)*('Бюджет на запуск'!J$150:J$154)*(('Бюджет на запуск'!$C$150:$C$154=Расчет!$D101)))/$E101,0)</f>
        <v>0.33333333333333331</v>
      </c>
      <c r="K101" s="42">
        <f>IFERROR(SUMPRODUCT(('Бюджет на запуск'!$D$150:$D$154)*('Бюджет на запуск'!K$150:K$154)*(('Бюджет на запуск'!$C$150:$C$154=Расчет!$D101)))/$E101,0)</f>
        <v>0</v>
      </c>
      <c r="L101" s="42">
        <f>IFERROR(SUMPRODUCT(('Бюджет на запуск'!$D$150:$D$154)*('Бюджет на запуск'!L$150:L$154)*(('Бюджет на запуск'!$C$150:$C$154=Расчет!$D101)))/$E101,0)</f>
        <v>0.33333333333333331</v>
      </c>
      <c r="M101" s="42">
        <f>IFERROR(SUMPRODUCT(('Бюджет на запуск'!$D$150:$D$154)*('Бюджет на запуск'!M$150:M$154)*(('Бюджет на запуск'!$C$150:$C$154=Расчет!$D101)))/$E101,0)</f>
        <v>0</v>
      </c>
      <c r="N101" s="42">
        <f>IFERROR(SUMPRODUCT(('Бюджет на запуск'!$D$150:$D$154)*('Бюджет на запуск'!N$150:N$154)*(('Бюджет на запуск'!$C$150:$C$154=Расчет!$D101)))/$E101,0)</f>
        <v>0</v>
      </c>
      <c r="O101" s="42">
        <f>IFERROR(SUMPRODUCT(('Бюджет на запуск'!$D$150:$D$154)*('Бюджет на запуск'!O$150:O$154)*(('Бюджет на запуск'!$C$150:$C$154=Расчет!$D101)))/$E101,0)</f>
        <v>0</v>
      </c>
      <c r="P101" s="42">
        <f>IFERROR(SUMPRODUCT(('Бюджет на запуск'!$D$150:$D$154)*('Бюджет на запуск'!P$150:P$154)*(('Бюджет на запуск'!$C$150:$C$154=Расчет!$D101)))/$E101,0)</f>
        <v>0</v>
      </c>
      <c r="Q101" s="42">
        <f>IFERROR(SUMPRODUCT(('Бюджет на запуск'!$D$150:$D$154)*('Бюджет на запуск'!Q$150:Q$154)*(('Бюджет на запуск'!$C$150:$C$154=Расчет!$D101)))/$E101,0)</f>
        <v>0</v>
      </c>
      <c r="R101" s="42">
        <f>IFERROR(SUMPRODUCT(('Бюджет на запуск'!$D$150:$D$154)*('Бюджет на запуск'!R$150:R$154)*(('Бюджет на запуск'!$C$150:$C$154=Расчет!$D101)))/$E101,0)</f>
        <v>0</v>
      </c>
      <c r="S101" s="42">
        <f>IFERROR(SUMPRODUCT(('Бюджет на запуск'!$D$150:$D$154)*('Бюджет на запуск'!S$150:S$154)*(('Бюджет на запуск'!$C$150:$C$154=Расчет!$D101)))/$E101,0)</f>
        <v>0</v>
      </c>
    </row>
    <row r="102" spans="1:19" s="2" customFormat="1" ht="16.5" x14ac:dyDescent="0.3">
      <c r="A102" s="223"/>
      <c r="B102" s="223"/>
      <c r="C102" s="200" t="str">
        <f t="shared" si="61"/>
        <v>Услуги по найму дополнительного персонала в USD</v>
      </c>
      <c r="D102" s="229" t="str">
        <f>'Бюджет на запуск'!$J$3</f>
        <v>USD</v>
      </c>
      <c r="E102" s="230">
        <f>SUMIF('Бюджет на запуск'!$C$150:$C$154,Расчет!$D102,'Бюджет на запуск'!$D$150:$D$154)</f>
        <v>0</v>
      </c>
      <c r="F102" s="231">
        <f>IFERROR(SUMPRODUCT(('Бюджет на запуск'!$D$150:$D$154)*('Бюджет на запуск'!$E$150:$E$154)*(('Бюджет на запуск'!$C$150:$C$154=Расчет!$D102)))/$E102,0)</f>
        <v>0</v>
      </c>
      <c r="G102" s="232">
        <f t="shared" si="55"/>
        <v>1</v>
      </c>
      <c r="H102" s="42">
        <f>IFERROR(SUMPRODUCT(('Бюджет на запуск'!$D$150:$D$154)*('Бюджет на запуск'!H$150:H$154)*(('Бюджет на запуск'!$C$150:$C$154=Расчет!$D102)))/$E102,0)</f>
        <v>0</v>
      </c>
      <c r="I102" s="42">
        <f>IFERROR(SUMPRODUCT(('Бюджет на запуск'!$D$150:$D$154)*('Бюджет на запуск'!I$150:I$154)*(('Бюджет на запуск'!$C$150:$C$154=Расчет!$D102)))/$E102,0)</f>
        <v>0</v>
      </c>
      <c r="J102" s="42">
        <f>IFERROR(SUMPRODUCT(('Бюджет на запуск'!$D$150:$D$154)*('Бюджет на запуск'!J$150:J$154)*(('Бюджет на запуск'!$C$150:$C$154=Расчет!$D102)))/$E102,0)</f>
        <v>0</v>
      </c>
      <c r="K102" s="42">
        <f>IFERROR(SUMPRODUCT(('Бюджет на запуск'!$D$150:$D$154)*('Бюджет на запуск'!K$150:K$154)*(('Бюджет на запуск'!$C$150:$C$154=Расчет!$D102)))/$E102,0)</f>
        <v>0</v>
      </c>
      <c r="L102" s="42">
        <f>IFERROR(SUMPRODUCT(('Бюджет на запуск'!$D$150:$D$154)*('Бюджет на запуск'!L$150:L$154)*(('Бюджет на запуск'!$C$150:$C$154=Расчет!$D102)))/$E102,0)</f>
        <v>0</v>
      </c>
      <c r="M102" s="42">
        <f>IFERROR(SUMPRODUCT(('Бюджет на запуск'!$D$150:$D$154)*('Бюджет на запуск'!M$150:M$154)*(('Бюджет на запуск'!$C$150:$C$154=Расчет!$D102)))/$E102,0)</f>
        <v>0</v>
      </c>
      <c r="N102" s="42">
        <f>IFERROR(SUMPRODUCT(('Бюджет на запуск'!$D$150:$D$154)*('Бюджет на запуск'!N$150:N$154)*(('Бюджет на запуск'!$C$150:$C$154=Расчет!$D102)))/$E102,0)</f>
        <v>0</v>
      </c>
      <c r="O102" s="42">
        <f>IFERROR(SUMPRODUCT(('Бюджет на запуск'!$D$150:$D$154)*('Бюджет на запуск'!O$150:O$154)*(('Бюджет на запуск'!$C$150:$C$154=Расчет!$D102)))/$E102,0)</f>
        <v>0</v>
      </c>
      <c r="P102" s="42">
        <f>IFERROR(SUMPRODUCT(('Бюджет на запуск'!$D$150:$D$154)*('Бюджет на запуск'!P$150:P$154)*(('Бюджет на запуск'!$C$150:$C$154=Расчет!$D102)))/$E102,0)</f>
        <v>0</v>
      </c>
      <c r="Q102" s="42">
        <f>IFERROR(SUMPRODUCT(('Бюджет на запуск'!$D$150:$D$154)*('Бюджет на запуск'!Q$150:Q$154)*(('Бюджет на запуск'!$C$150:$C$154=Расчет!$D102)))/$E102,0)</f>
        <v>0</v>
      </c>
      <c r="R102" s="42">
        <f>IFERROR(SUMPRODUCT(('Бюджет на запуск'!$D$150:$D$154)*('Бюджет на запуск'!R$150:R$154)*(('Бюджет на запуск'!$C$150:$C$154=Расчет!$D102)))/$E102,0)</f>
        <v>0</v>
      </c>
      <c r="S102" s="42">
        <f>IFERROR(SUMPRODUCT(('Бюджет на запуск'!$D$150:$D$154)*('Бюджет на запуск'!S$150:S$154)*(('Бюджет на запуск'!$C$150:$C$154=Расчет!$D102)))/$E102,0)</f>
        <v>0</v>
      </c>
    </row>
    <row r="103" spans="1:19" s="2" customFormat="1" ht="16.5" x14ac:dyDescent="0.3">
      <c r="A103" s="223"/>
      <c r="B103" s="223"/>
      <c r="C103" s="200" t="str">
        <f>"Услуги по найму дополнительного персонала"&amp;" в "&amp;D103</f>
        <v>Услуги по найму дополнительного персонала в CNY</v>
      </c>
      <c r="D103" s="229" t="str">
        <f>'Бюджет на запуск'!$K$3</f>
        <v>CNY</v>
      </c>
      <c r="E103" s="230">
        <f>SUMIF('Бюджет на запуск'!$C$150:$C$154,Расчет!$D103,'Бюджет на запуск'!$D$150:$D$154)</f>
        <v>0</v>
      </c>
      <c r="F103" s="231">
        <f>IFERROR(SUMPRODUCT(('Бюджет на запуск'!$D$150:$D$154)*('Бюджет на запуск'!$E$150:$E$154)*(('Бюджет на запуск'!$C$150:$C$154=Расчет!$D103)))/$E103,0)</f>
        <v>0</v>
      </c>
      <c r="G103" s="232">
        <f t="shared" si="55"/>
        <v>1</v>
      </c>
      <c r="H103" s="42">
        <f>IFERROR(SUMPRODUCT(('Бюджет на запуск'!$D$150:$D$154)*('Бюджет на запуск'!H$150:H$154)*(('Бюджет на запуск'!$C$150:$C$154=Расчет!$D103)))/$E103,0)</f>
        <v>0</v>
      </c>
      <c r="I103" s="42">
        <f>IFERROR(SUMPRODUCT(('Бюджет на запуск'!$D$150:$D$154)*('Бюджет на запуск'!I$150:I$154)*(('Бюджет на запуск'!$C$150:$C$154=Расчет!$D103)))/$E103,0)</f>
        <v>0</v>
      </c>
      <c r="J103" s="42">
        <f>IFERROR(SUMPRODUCT(('Бюджет на запуск'!$D$150:$D$154)*('Бюджет на запуск'!J$150:J$154)*(('Бюджет на запуск'!$C$150:$C$154=Расчет!$D103)))/$E103,0)</f>
        <v>0</v>
      </c>
      <c r="K103" s="42">
        <f>IFERROR(SUMPRODUCT(('Бюджет на запуск'!$D$150:$D$154)*('Бюджет на запуск'!K$150:K$154)*(('Бюджет на запуск'!$C$150:$C$154=Расчет!$D103)))/$E103,0)</f>
        <v>0</v>
      </c>
      <c r="L103" s="42">
        <f>IFERROR(SUMPRODUCT(('Бюджет на запуск'!$D$150:$D$154)*('Бюджет на запуск'!L$150:L$154)*(('Бюджет на запуск'!$C$150:$C$154=Расчет!$D103)))/$E103,0)</f>
        <v>0</v>
      </c>
      <c r="M103" s="42">
        <f>IFERROR(SUMPRODUCT(('Бюджет на запуск'!$D$150:$D$154)*('Бюджет на запуск'!M$150:M$154)*(('Бюджет на запуск'!$C$150:$C$154=Расчет!$D103)))/$E103,0)</f>
        <v>0</v>
      </c>
      <c r="N103" s="42">
        <f>IFERROR(SUMPRODUCT(('Бюджет на запуск'!$D$150:$D$154)*('Бюджет на запуск'!N$150:N$154)*(('Бюджет на запуск'!$C$150:$C$154=Расчет!$D103)))/$E103,0)</f>
        <v>0</v>
      </c>
      <c r="O103" s="42">
        <f>IFERROR(SUMPRODUCT(('Бюджет на запуск'!$D$150:$D$154)*('Бюджет на запуск'!O$150:O$154)*(('Бюджет на запуск'!$C$150:$C$154=Расчет!$D103)))/$E103,0)</f>
        <v>0</v>
      </c>
      <c r="P103" s="42">
        <f>IFERROR(SUMPRODUCT(('Бюджет на запуск'!$D$150:$D$154)*('Бюджет на запуск'!P$150:P$154)*(('Бюджет на запуск'!$C$150:$C$154=Расчет!$D103)))/$E103,0)</f>
        <v>0</v>
      </c>
      <c r="Q103" s="42">
        <f>IFERROR(SUMPRODUCT(('Бюджет на запуск'!$D$150:$D$154)*('Бюджет на запуск'!Q$150:Q$154)*(('Бюджет на запуск'!$C$150:$C$154=Расчет!$D103)))/$E103,0)</f>
        <v>0</v>
      </c>
      <c r="R103" s="42">
        <f>IFERROR(SUMPRODUCT(('Бюджет на запуск'!$D$150:$D$154)*('Бюджет на запуск'!R$150:R$154)*(('Бюджет на запуск'!$C$150:$C$154=Расчет!$D103)))/$E103,0)</f>
        <v>0</v>
      </c>
      <c r="S103" s="42">
        <f>IFERROR(SUMPRODUCT(('Бюджет на запуск'!$D$150:$D$154)*('Бюджет на запуск'!S$150:S$154)*(('Бюджет на запуск'!$C$150:$C$154=Расчет!$D103)))/$E103,0)</f>
        <v>0</v>
      </c>
    </row>
    <row r="104" spans="1:19" s="2" customFormat="1" ht="16.5" x14ac:dyDescent="0.3">
      <c r="A104" s="223"/>
      <c r="B104" s="223"/>
      <c r="C104" s="200" t="str">
        <f>"Закупка специализированного программного обеспечения"&amp;" в "&amp;D104</f>
        <v>Закупка специализированного программного обеспечения в RUB</v>
      </c>
      <c r="D104" s="229" t="str">
        <f>'Бюджет на запуск'!$H$3</f>
        <v>RUB</v>
      </c>
      <c r="E104" s="230">
        <f>SUMIF('Бюджет на запуск'!$C$157:$C$162,Расчет!$D104,'Бюджет на запуск'!$D$157:$D$162)</f>
        <v>15000</v>
      </c>
      <c r="F104" s="231">
        <f>IFERROR(SUMPRODUCT(('Бюджет на запуск'!$D$157:$D$162)*('Бюджет на запуск'!$E$157:$E$162)*(('Бюджет на запуск'!$C$157:$C$162=Расчет!$D104)))/$E104,0)</f>
        <v>0.2</v>
      </c>
      <c r="G104" s="232">
        <f t="shared" ref="G104:G115" si="62">IF(E104=0,1,SUM(H104:S104))</f>
        <v>1</v>
      </c>
      <c r="H104" s="42">
        <f>IFERROR(SUMPRODUCT(('Бюджет на запуск'!$D$157:$D$162)*('Бюджет на запуск'!H$157:H$162)*(('Бюджет на запуск'!$C$157:$C$162=Расчет!$D104)))/$E104,0)</f>
        <v>0</v>
      </c>
      <c r="I104" s="42">
        <f>IFERROR(SUMPRODUCT(('Бюджет на запуск'!$D$157:$D$162)*('Бюджет на запуск'!I$157:I$162)*(('Бюджет на запуск'!$C$157:$C$162=Расчет!$D104)))/$E104,0)</f>
        <v>0</v>
      </c>
      <c r="J104" s="42">
        <f>IFERROR(SUMPRODUCT(('Бюджет на запуск'!$D$157:$D$162)*('Бюджет на запуск'!J$157:J$162)*(('Бюджет на запуск'!$C$157:$C$162=Расчет!$D104)))/$E104,0)</f>
        <v>0</v>
      </c>
      <c r="K104" s="42">
        <f>IFERROR(SUMPRODUCT(('Бюджет на запуск'!$D$157:$D$162)*('Бюджет на запуск'!K$157:K$162)*(('Бюджет на запуск'!$C$157:$C$162=Расчет!$D104)))/$E104,0)</f>
        <v>0</v>
      </c>
      <c r="L104" s="42">
        <f>IFERROR(SUMPRODUCT(('Бюджет на запуск'!$D$157:$D$162)*('Бюджет на запуск'!L$157:L$162)*(('Бюджет на запуск'!$C$157:$C$162=Расчет!$D104)))/$E104,0)</f>
        <v>0.5</v>
      </c>
      <c r="M104" s="42">
        <f>IFERROR(SUMPRODUCT(('Бюджет на запуск'!$D$157:$D$162)*('Бюджет на запуск'!M$157:M$162)*(('Бюджет на запуск'!$C$157:$C$162=Расчет!$D104)))/$E104,0)</f>
        <v>0.5</v>
      </c>
      <c r="N104" s="42">
        <f>IFERROR(SUMPRODUCT(('Бюджет на запуск'!$D$157:$D$162)*('Бюджет на запуск'!N$157:N$162)*(('Бюджет на запуск'!$C$157:$C$162=Расчет!$D104)))/$E104,0)</f>
        <v>0</v>
      </c>
      <c r="O104" s="42">
        <f>IFERROR(SUMPRODUCT(('Бюджет на запуск'!$D$157:$D$162)*('Бюджет на запуск'!O$157:O$162)*(('Бюджет на запуск'!$C$157:$C$162=Расчет!$D104)))/$E104,0)</f>
        <v>0</v>
      </c>
      <c r="P104" s="42">
        <f>IFERROR(SUMPRODUCT(('Бюджет на запуск'!$D$157:$D$162)*('Бюджет на запуск'!P$157:P$162)*(('Бюджет на запуск'!$C$157:$C$162=Расчет!$D104)))/$E104,0)</f>
        <v>0</v>
      </c>
      <c r="Q104" s="42">
        <f>IFERROR(SUMPRODUCT(('Бюджет на запуск'!$D$157:$D$162)*('Бюджет на запуск'!Q$157:Q$162)*(('Бюджет на запуск'!$C$157:$C$162=Расчет!$D104)))/$E104,0)</f>
        <v>0</v>
      </c>
      <c r="R104" s="42">
        <f>IFERROR(SUMPRODUCT(('Бюджет на запуск'!$D$157:$D$162)*('Бюджет на запуск'!R$157:R$162)*(('Бюджет на запуск'!$C$157:$C$162=Расчет!$D104)))/$E104,0)</f>
        <v>0</v>
      </c>
      <c r="S104" s="42">
        <f>IFERROR(SUMPRODUCT(('Бюджет на запуск'!$D$157:$D$162)*('Бюджет на запуск'!S$157:S$162)*(('Бюджет на запуск'!$C$157:$C$162=Расчет!$D104)))/$E104,0)</f>
        <v>0</v>
      </c>
    </row>
    <row r="105" spans="1:19" s="2" customFormat="1" ht="16.5" x14ac:dyDescent="0.3">
      <c r="A105" s="223"/>
      <c r="B105" s="223"/>
      <c r="C105" s="200" t="str">
        <f t="shared" ref="C105:C106" si="63">"Закупка специализированного программного обеспечения"&amp;" в "&amp;D105</f>
        <v>Закупка специализированного программного обеспечения в AED</v>
      </c>
      <c r="D105" s="229" t="str">
        <f>'Бюджет на запуск'!$I$3</f>
        <v>AED</v>
      </c>
      <c r="E105" s="230">
        <f>SUMIF('Бюджет на запуск'!$C$157:$C$162,Расчет!$D105,'Бюджет на запуск'!$D$157:$D$162)</f>
        <v>0</v>
      </c>
      <c r="F105" s="231">
        <f>IFERROR(SUMPRODUCT(('Бюджет на запуск'!$D$157:$D$162)*('Бюджет на запуск'!$E$157:$E$162)*(('Бюджет на запуск'!$C$157:$C$162=Расчет!$D105)))/$E105,0)</f>
        <v>0</v>
      </c>
      <c r="G105" s="232">
        <f t="shared" si="62"/>
        <v>1</v>
      </c>
      <c r="H105" s="42">
        <f>IFERROR(SUMPRODUCT(('Бюджет на запуск'!$D$157:$D$162)*('Бюджет на запуск'!H$157:H$162)*(('Бюджет на запуск'!$C$157:$C$162=Расчет!$D105)))/$E105,0)</f>
        <v>0</v>
      </c>
      <c r="I105" s="42">
        <f>IFERROR(SUMPRODUCT(('Бюджет на запуск'!$D$157:$D$162)*('Бюджет на запуск'!I$157:I$162)*(('Бюджет на запуск'!$C$157:$C$162=Расчет!$D105)))/$E105,0)</f>
        <v>0</v>
      </c>
      <c r="J105" s="42">
        <f>IFERROR(SUMPRODUCT(('Бюджет на запуск'!$D$157:$D$162)*('Бюджет на запуск'!J$157:J$162)*(('Бюджет на запуск'!$C$157:$C$162=Расчет!$D105)))/$E105,0)</f>
        <v>0</v>
      </c>
      <c r="K105" s="42">
        <f>IFERROR(SUMPRODUCT(('Бюджет на запуск'!$D$157:$D$162)*('Бюджет на запуск'!K$157:K$162)*(('Бюджет на запуск'!$C$157:$C$162=Расчет!$D105)))/$E105,0)</f>
        <v>0</v>
      </c>
      <c r="L105" s="42">
        <f>IFERROR(SUMPRODUCT(('Бюджет на запуск'!$D$157:$D$162)*('Бюджет на запуск'!L$157:L$162)*(('Бюджет на запуск'!$C$157:$C$162=Расчет!$D105)))/$E105,0)</f>
        <v>0</v>
      </c>
      <c r="M105" s="42">
        <f>IFERROR(SUMPRODUCT(('Бюджет на запуск'!$D$157:$D$162)*('Бюджет на запуск'!M$157:M$162)*(('Бюджет на запуск'!$C$157:$C$162=Расчет!$D105)))/$E105,0)</f>
        <v>0</v>
      </c>
      <c r="N105" s="42">
        <f>IFERROR(SUMPRODUCT(('Бюджет на запуск'!$D$157:$D$162)*('Бюджет на запуск'!N$157:N$162)*(('Бюджет на запуск'!$C$157:$C$162=Расчет!$D105)))/$E105,0)</f>
        <v>0</v>
      </c>
      <c r="O105" s="42">
        <f>IFERROR(SUMPRODUCT(('Бюджет на запуск'!$D$157:$D$162)*('Бюджет на запуск'!O$157:O$162)*(('Бюджет на запуск'!$C$157:$C$162=Расчет!$D105)))/$E105,0)</f>
        <v>0</v>
      </c>
      <c r="P105" s="42">
        <f>IFERROR(SUMPRODUCT(('Бюджет на запуск'!$D$157:$D$162)*('Бюджет на запуск'!P$157:P$162)*(('Бюджет на запуск'!$C$157:$C$162=Расчет!$D105)))/$E105,0)</f>
        <v>0</v>
      </c>
      <c r="Q105" s="42">
        <f>IFERROR(SUMPRODUCT(('Бюджет на запуск'!$D$157:$D$162)*('Бюджет на запуск'!Q$157:Q$162)*(('Бюджет на запуск'!$C$157:$C$162=Расчет!$D105)))/$E105,0)</f>
        <v>0</v>
      </c>
      <c r="R105" s="42">
        <f>IFERROR(SUMPRODUCT(('Бюджет на запуск'!$D$157:$D$162)*('Бюджет на запуск'!R$157:R$162)*(('Бюджет на запуск'!$C$157:$C$162=Расчет!$D105)))/$E105,0)</f>
        <v>0</v>
      </c>
      <c r="S105" s="42">
        <f>IFERROR(SUMPRODUCT(('Бюджет на запуск'!$D$157:$D$162)*('Бюджет на запуск'!S$157:S$162)*(('Бюджет на запуск'!$C$157:$C$162=Расчет!$D105)))/$E105,0)</f>
        <v>0</v>
      </c>
    </row>
    <row r="106" spans="1:19" s="2" customFormat="1" ht="16.5" x14ac:dyDescent="0.3">
      <c r="A106" s="223"/>
      <c r="B106" s="223"/>
      <c r="C106" s="200" t="str">
        <f t="shared" si="63"/>
        <v>Закупка специализированного программного обеспечения в USD</v>
      </c>
      <c r="D106" s="229" t="str">
        <f>'Бюджет на запуск'!$J$3</f>
        <v>USD</v>
      </c>
      <c r="E106" s="230">
        <f>SUMIF('Бюджет на запуск'!$C$157:$C$162,Расчет!$D106,'Бюджет на запуск'!$D$157:$D$162)</f>
        <v>0</v>
      </c>
      <c r="F106" s="231">
        <f>IFERROR(SUMPRODUCT(('Бюджет на запуск'!$D$157:$D$162)*('Бюджет на запуск'!$E$157:$E$162)*(('Бюджет на запуск'!$C$157:$C$162=Расчет!$D106)))/$E106,0)</f>
        <v>0</v>
      </c>
      <c r="G106" s="232">
        <f t="shared" si="62"/>
        <v>1</v>
      </c>
      <c r="H106" s="42">
        <f>IFERROR(SUMPRODUCT(('Бюджет на запуск'!$D$157:$D$162)*('Бюджет на запуск'!H$157:H$162)*(('Бюджет на запуск'!$C$157:$C$162=Расчет!$D106)))/$E106,0)</f>
        <v>0</v>
      </c>
      <c r="I106" s="42">
        <f>IFERROR(SUMPRODUCT(('Бюджет на запуск'!$D$157:$D$162)*('Бюджет на запуск'!I$157:I$162)*(('Бюджет на запуск'!$C$157:$C$162=Расчет!$D106)))/$E106,0)</f>
        <v>0</v>
      </c>
      <c r="J106" s="42">
        <f>IFERROR(SUMPRODUCT(('Бюджет на запуск'!$D$157:$D$162)*('Бюджет на запуск'!J$157:J$162)*(('Бюджет на запуск'!$C$157:$C$162=Расчет!$D106)))/$E106,0)</f>
        <v>0</v>
      </c>
      <c r="K106" s="42">
        <f>IFERROR(SUMPRODUCT(('Бюджет на запуск'!$D$157:$D$162)*('Бюджет на запуск'!K$157:K$162)*(('Бюджет на запуск'!$C$157:$C$162=Расчет!$D106)))/$E106,0)</f>
        <v>0</v>
      </c>
      <c r="L106" s="42">
        <f>IFERROR(SUMPRODUCT(('Бюджет на запуск'!$D$157:$D$162)*('Бюджет на запуск'!L$157:L$162)*(('Бюджет на запуск'!$C$157:$C$162=Расчет!$D106)))/$E106,0)</f>
        <v>0</v>
      </c>
      <c r="M106" s="42">
        <f>IFERROR(SUMPRODUCT(('Бюджет на запуск'!$D$157:$D$162)*('Бюджет на запуск'!M$157:M$162)*(('Бюджет на запуск'!$C$157:$C$162=Расчет!$D106)))/$E106,0)</f>
        <v>0</v>
      </c>
      <c r="N106" s="42">
        <f>IFERROR(SUMPRODUCT(('Бюджет на запуск'!$D$157:$D$162)*('Бюджет на запуск'!N$157:N$162)*(('Бюджет на запуск'!$C$157:$C$162=Расчет!$D106)))/$E106,0)</f>
        <v>0</v>
      </c>
      <c r="O106" s="42">
        <f>IFERROR(SUMPRODUCT(('Бюджет на запуск'!$D$157:$D$162)*('Бюджет на запуск'!O$157:O$162)*(('Бюджет на запуск'!$C$157:$C$162=Расчет!$D106)))/$E106,0)</f>
        <v>0</v>
      </c>
      <c r="P106" s="42">
        <f>IFERROR(SUMPRODUCT(('Бюджет на запуск'!$D$157:$D$162)*('Бюджет на запуск'!P$157:P$162)*(('Бюджет на запуск'!$C$157:$C$162=Расчет!$D106)))/$E106,0)</f>
        <v>0</v>
      </c>
      <c r="Q106" s="42">
        <f>IFERROR(SUMPRODUCT(('Бюджет на запуск'!$D$157:$D$162)*('Бюджет на запуск'!Q$157:Q$162)*(('Бюджет на запуск'!$C$157:$C$162=Расчет!$D106)))/$E106,0)</f>
        <v>0</v>
      </c>
      <c r="R106" s="42">
        <f>IFERROR(SUMPRODUCT(('Бюджет на запуск'!$D$157:$D$162)*('Бюджет на запуск'!R$157:R$162)*(('Бюджет на запуск'!$C$157:$C$162=Расчет!$D106)))/$E106,0)</f>
        <v>0</v>
      </c>
      <c r="S106" s="42">
        <f>IFERROR(SUMPRODUCT(('Бюджет на запуск'!$D$157:$D$162)*('Бюджет на запуск'!S$157:S$162)*(('Бюджет на запуск'!$C$157:$C$162=Расчет!$D106)))/$E106,0)</f>
        <v>0</v>
      </c>
    </row>
    <row r="107" spans="1:19" s="2" customFormat="1" ht="16.5" x14ac:dyDescent="0.3">
      <c r="A107" s="223"/>
      <c r="B107" s="223"/>
      <c r="C107" s="200" t="str">
        <f>"Закупка специализированного программного обеспечения"&amp;" в "&amp;D107</f>
        <v>Закупка специализированного программного обеспечения в CNY</v>
      </c>
      <c r="D107" s="229" t="str">
        <f>'Бюджет на запуск'!$K$3</f>
        <v>CNY</v>
      </c>
      <c r="E107" s="230">
        <f>SUMIF('Бюджет на запуск'!$C$157:$C$162,Расчет!$D107,'Бюджет на запуск'!$D$157:$D$162)</f>
        <v>0</v>
      </c>
      <c r="F107" s="231">
        <f>IFERROR(SUMPRODUCT(('Бюджет на запуск'!$D$157:$D$162)*('Бюджет на запуск'!$E$157:$E$162)*(('Бюджет на запуск'!$C$157:$C$162=Расчет!$D107)))/$E107,0)</f>
        <v>0</v>
      </c>
      <c r="G107" s="232">
        <f t="shared" si="62"/>
        <v>1</v>
      </c>
      <c r="H107" s="42">
        <f>IFERROR(SUMPRODUCT(('Бюджет на запуск'!$D$157:$D$162)*('Бюджет на запуск'!H$157:H$162)*(('Бюджет на запуск'!$C$157:$C$162=Расчет!$D107)))/$E107,0)</f>
        <v>0</v>
      </c>
      <c r="I107" s="42">
        <f>IFERROR(SUMPRODUCT(('Бюджет на запуск'!$D$157:$D$162)*('Бюджет на запуск'!I$157:I$162)*(('Бюджет на запуск'!$C$157:$C$162=Расчет!$D107)))/$E107,0)</f>
        <v>0</v>
      </c>
      <c r="J107" s="42">
        <f>IFERROR(SUMPRODUCT(('Бюджет на запуск'!$D$157:$D$162)*('Бюджет на запуск'!J$157:J$162)*(('Бюджет на запуск'!$C$157:$C$162=Расчет!$D107)))/$E107,0)</f>
        <v>0</v>
      </c>
      <c r="K107" s="42">
        <f>IFERROR(SUMPRODUCT(('Бюджет на запуск'!$D$157:$D$162)*('Бюджет на запуск'!K$157:K$162)*(('Бюджет на запуск'!$C$157:$C$162=Расчет!$D107)))/$E107,0)</f>
        <v>0</v>
      </c>
      <c r="L107" s="42">
        <f>IFERROR(SUMPRODUCT(('Бюджет на запуск'!$D$157:$D$162)*('Бюджет на запуск'!L$157:L$162)*(('Бюджет на запуск'!$C$157:$C$162=Расчет!$D107)))/$E107,0)</f>
        <v>0</v>
      </c>
      <c r="M107" s="42">
        <f>IFERROR(SUMPRODUCT(('Бюджет на запуск'!$D$157:$D$162)*('Бюджет на запуск'!M$157:M$162)*(('Бюджет на запуск'!$C$157:$C$162=Расчет!$D107)))/$E107,0)</f>
        <v>0</v>
      </c>
      <c r="N107" s="42">
        <f>IFERROR(SUMPRODUCT(('Бюджет на запуск'!$D$157:$D$162)*('Бюджет на запуск'!N$157:N$162)*(('Бюджет на запуск'!$C$157:$C$162=Расчет!$D107)))/$E107,0)</f>
        <v>0</v>
      </c>
      <c r="O107" s="42">
        <f>IFERROR(SUMPRODUCT(('Бюджет на запуск'!$D$157:$D$162)*('Бюджет на запуск'!O$157:O$162)*(('Бюджет на запуск'!$C$157:$C$162=Расчет!$D107)))/$E107,0)</f>
        <v>0</v>
      </c>
      <c r="P107" s="42">
        <f>IFERROR(SUMPRODUCT(('Бюджет на запуск'!$D$157:$D$162)*('Бюджет на запуск'!P$157:P$162)*(('Бюджет на запуск'!$C$157:$C$162=Расчет!$D107)))/$E107,0)</f>
        <v>0</v>
      </c>
      <c r="Q107" s="42">
        <f>IFERROR(SUMPRODUCT(('Бюджет на запуск'!$D$157:$D$162)*('Бюджет на запуск'!Q$157:Q$162)*(('Бюджет на запуск'!$C$157:$C$162=Расчет!$D107)))/$E107,0)</f>
        <v>0</v>
      </c>
      <c r="R107" s="42">
        <f>IFERROR(SUMPRODUCT(('Бюджет на запуск'!$D$157:$D$162)*('Бюджет на запуск'!R$157:R$162)*(('Бюджет на запуск'!$C$157:$C$162=Расчет!$D107)))/$E107,0)</f>
        <v>0</v>
      </c>
      <c r="S107" s="42">
        <f>IFERROR(SUMPRODUCT(('Бюджет на запуск'!$D$157:$D$162)*('Бюджет на запуск'!S$157:S$162)*(('Бюджет на запуск'!$C$157:$C$162=Расчет!$D107)))/$E107,0)</f>
        <v>0</v>
      </c>
    </row>
    <row r="108" spans="1:19" s="2" customFormat="1" ht="16.5" x14ac:dyDescent="0.3">
      <c r="A108" s="223"/>
      <c r="B108" s="223"/>
      <c r="C108" s="200" t="str">
        <f>"Создание юридического лица, открытие р/с"&amp;" в "&amp;D108</f>
        <v>Создание юридического лица, открытие р/с в RUB</v>
      </c>
      <c r="D108" s="229" t="str">
        <f>'Бюджет на запуск'!$H$3</f>
        <v>RUB</v>
      </c>
      <c r="E108" s="230">
        <f>SUMIF('Бюджет на запуск'!$C$165:$C$176,Расчет!$D108,'Бюджет на запуск'!$D$165:$D$176)</f>
        <v>0</v>
      </c>
      <c r="F108" s="231">
        <f>IFERROR(SUMPRODUCT(('Бюджет на запуск'!$D$165:$D$176)*('Бюджет на запуск'!$E$165:$E$176)*(('Бюджет на запуск'!$C$165:$C$176=Расчет!$D108)))/$E108,0)</f>
        <v>0</v>
      </c>
      <c r="G108" s="232">
        <f t="shared" si="62"/>
        <v>1</v>
      </c>
      <c r="H108" s="42">
        <f>IFERROR(SUMPRODUCT(('Бюджет на запуск'!$D$165:$D$176)*('Бюджет на запуск'!H$165:H$176)*(('Бюджет на запуск'!$C$165:$C$176=Расчет!$D108)))/$E108,0)</f>
        <v>0</v>
      </c>
      <c r="I108" s="42">
        <f>IFERROR(SUMPRODUCT(('Бюджет на запуск'!$D$165:$D$176)*('Бюджет на запуск'!I$165:I$176)*(('Бюджет на запуск'!$C$165:$C$176=Расчет!$D108)))/$E108,0)</f>
        <v>0</v>
      </c>
      <c r="J108" s="42">
        <f>IFERROR(SUMPRODUCT(('Бюджет на запуск'!$D$165:$D$176)*('Бюджет на запуск'!J$165:J$176)*(('Бюджет на запуск'!$C$165:$C$176=Расчет!$D108)))/$E108,0)</f>
        <v>0</v>
      </c>
      <c r="K108" s="42">
        <f>IFERROR(SUMPRODUCT(('Бюджет на запуск'!$D$165:$D$176)*('Бюджет на запуск'!K$165:K$176)*(('Бюджет на запуск'!$C$165:$C$176=Расчет!$D108)))/$E108,0)</f>
        <v>0</v>
      </c>
      <c r="L108" s="42">
        <f>IFERROR(SUMPRODUCT(('Бюджет на запуск'!$D$165:$D$176)*('Бюджет на запуск'!L$165:L$176)*(('Бюджет на запуск'!$C$165:$C$176=Расчет!$D108)))/$E108,0)</f>
        <v>0</v>
      </c>
      <c r="M108" s="42">
        <f>IFERROR(SUMPRODUCT(('Бюджет на запуск'!$D$165:$D$176)*('Бюджет на запуск'!M$165:M$176)*(('Бюджет на запуск'!$C$165:$C$176=Расчет!$D108)))/$E108,0)</f>
        <v>0</v>
      </c>
      <c r="N108" s="42">
        <f>IFERROR(SUMPRODUCT(('Бюджет на запуск'!$D$165:$D$176)*('Бюджет на запуск'!N$165:N$176)*(('Бюджет на запуск'!$C$165:$C$176=Расчет!$D108)))/$E108,0)</f>
        <v>0</v>
      </c>
      <c r="O108" s="42">
        <f>IFERROR(SUMPRODUCT(('Бюджет на запуск'!$D$165:$D$176)*('Бюджет на запуск'!O$165:O$176)*(('Бюджет на запуск'!$C$165:$C$176=Расчет!$D108)))/$E108,0)</f>
        <v>0</v>
      </c>
      <c r="P108" s="42">
        <f>IFERROR(SUMPRODUCT(('Бюджет на запуск'!$D$165:$D$176)*('Бюджет на запуск'!P$165:P$176)*(('Бюджет на запуск'!$C$165:$C$176=Расчет!$D108)))/$E108,0)</f>
        <v>0</v>
      </c>
      <c r="Q108" s="42">
        <f>IFERROR(SUMPRODUCT(('Бюджет на запуск'!$D$165:$D$176)*('Бюджет на запуск'!Q$165:Q$176)*(('Бюджет на запуск'!$C$165:$C$176=Расчет!$D108)))/$E108,0)</f>
        <v>0</v>
      </c>
      <c r="R108" s="42">
        <f>IFERROR(SUMPRODUCT(('Бюджет на запуск'!$D$165:$D$176)*('Бюджет на запуск'!R$165:R$176)*(('Бюджет на запуск'!$C$165:$C$176=Расчет!$D108)))/$E108,0)</f>
        <v>0</v>
      </c>
      <c r="S108" s="42">
        <f>IFERROR(SUMPRODUCT(('Бюджет на запуск'!$D$165:$D$176)*('Бюджет на запуск'!S$165:S$176)*(('Бюджет на запуск'!$C$165:$C$176=Расчет!$D108)))/$E108,0)</f>
        <v>0</v>
      </c>
    </row>
    <row r="109" spans="1:19" s="2" customFormat="1" ht="16.5" x14ac:dyDescent="0.3">
      <c r="A109" s="223"/>
      <c r="B109" s="223"/>
      <c r="C109" s="200" t="str">
        <f t="shared" ref="C109:C110" si="64">"Создание юридического лица, открытие р/с"&amp;" в "&amp;D109</f>
        <v>Создание юридического лица, открытие р/с в AED</v>
      </c>
      <c r="D109" s="229" t="str">
        <f>'Бюджет на запуск'!$I$3</f>
        <v>AED</v>
      </c>
      <c r="E109" s="230">
        <f>SUMIF('Бюджет на запуск'!$C$165:$C$176,Расчет!$D109,'Бюджет на запуск'!$D$165:$D$176)</f>
        <v>0</v>
      </c>
      <c r="F109" s="231">
        <f>IFERROR(SUMPRODUCT(('Бюджет на запуск'!$D$165:$D$176)*('Бюджет на запуск'!$E$165:$E$176)*(('Бюджет на запуск'!$C$165:$C$176=Расчет!$D109)))/$E109,0)</f>
        <v>0</v>
      </c>
      <c r="G109" s="232">
        <f t="shared" si="62"/>
        <v>1</v>
      </c>
      <c r="H109" s="42">
        <f>IFERROR(SUMPRODUCT(('Бюджет на запуск'!$D$165:$D$176)*('Бюджет на запуск'!H$165:H$176)*(('Бюджет на запуск'!$C$165:$C$176=Расчет!$D109)))/$E109,0)</f>
        <v>0</v>
      </c>
      <c r="I109" s="42">
        <f>IFERROR(SUMPRODUCT(('Бюджет на запуск'!$D$165:$D$176)*('Бюджет на запуск'!I$165:I$176)*(('Бюджет на запуск'!$C$165:$C$176=Расчет!$D109)))/$E109,0)</f>
        <v>0</v>
      </c>
      <c r="J109" s="42">
        <f>IFERROR(SUMPRODUCT(('Бюджет на запуск'!$D$165:$D$176)*('Бюджет на запуск'!J$165:J$176)*(('Бюджет на запуск'!$C$165:$C$176=Расчет!$D109)))/$E109,0)</f>
        <v>0</v>
      </c>
      <c r="K109" s="42">
        <f>IFERROR(SUMPRODUCT(('Бюджет на запуск'!$D$165:$D$176)*('Бюджет на запуск'!K$165:K$176)*(('Бюджет на запуск'!$C$165:$C$176=Расчет!$D109)))/$E109,0)</f>
        <v>0</v>
      </c>
      <c r="L109" s="42">
        <f>IFERROR(SUMPRODUCT(('Бюджет на запуск'!$D$165:$D$176)*('Бюджет на запуск'!L$165:L$176)*(('Бюджет на запуск'!$C$165:$C$176=Расчет!$D109)))/$E109,0)</f>
        <v>0</v>
      </c>
      <c r="M109" s="42">
        <f>IFERROR(SUMPRODUCT(('Бюджет на запуск'!$D$165:$D$176)*('Бюджет на запуск'!M$165:M$176)*(('Бюджет на запуск'!$C$165:$C$176=Расчет!$D109)))/$E109,0)</f>
        <v>0</v>
      </c>
      <c r="N109" s="42">
        <f>IFERROR(SUMPRODUCT(('Бюджет на запуск'!$D$165:$D$176)*('Бюджет на запуск'!N$165:N$176)*(('Бюджет на запуск'!$C$165:$C$176=Расчет!$D109)))/$E109,0)</f>
        <v>0</v>
      </c>
      <c r="O109" s="42">
        <f>IFERROR(SUMPRODUCT(('Бюджет на запуск'!$D$165:$D$176)*('Бюджет на запуск'!O$165:O$176)*(('Бюджет на запуск'!$C$165:$C$176=Расчет!$D109)))/$E109,0)</f>
        <v>0</v>
      </c>
      <c r="P109" s="42">
        <f>IFERROR(SUMPRODUCT(('Бюджет на запуск'!$D$165:$D$176)*('Бюджет на запуск'!P$165:P$176)*(('Бюджет на запуск'!$C$165:$C$176=Расчет!$D109)))/$E109,0)</f>
        <v>0</v>
      </c>
      <c r="Q109" s="42">
        <f>IFERROR(SUMPRODUCT(('Бюджет на запуск'!$D$165:$D$176)*('Бюджет на запуск'!Q$165:Q$176)*(('Бюджет на запуск'!$C$165:$C$176=Расчет!$D109)))/$E109,0)</f>
        <v>0</v>
      </c>
      <c r="R109" s="42">
        <f>IFERROR(SUMPRODUCT(('Бюджет на запуск'!$D$165:$D$176)*('Бюджет на запуск'!R$165:R$176)*(('Бюджет на запуск'!$C$165:$C$176=Расчет!$D109)))/$E109,0)</f>
        <v>0</v>
      </c>
      <c r="S109" s="42">
        <f>IFERROR(SUMPRODUCT(('Бюджет на запуск'!$D$165:$D$176)*('Бюджет на запуск'!S$165:S$176)*(('Бюджет на запуск'!$C$165:$C$176=Расчет!$D109)))/$E109,0)</f>
        <v>0</v>
      </c>
    </row>
    <row r="110" spans="1:19" s="2" customFormat="1" ht="16.5" x14ac:dyDescent="0.3">
      <c r="A110" s="223"/>
      <c r="B110" s="223"/>
      <c r="C110" s="200" t="str">
        <f t="shared" si="64"/>
        <v>Создание юридического лица, открытие р/с в USD</v>
      </c>
      <c r="D110" s="229" t="str">
        <f>'Бюджет на запуск'!$J$3</f>
        <v>USD</v>
      </c>
      <c r="E110" s="230">
        <f>SUMIF('Бюджет на запуск'!$C$165:$C$176,Расчет!$D110,'Бюджет на запуск'!$D$165:$D$176)</f>
        <v>2500</v>
      </c>
      <c r="F110" s="231">
        <f>IFERROR(SUMPRODUCT(('Бюджет на запуск'!$D$165:$D$176)*('Бюджет на запуск'!$E$165:$E$176)*(('Бюджет на запуск'!$C$165:$C$176=Расчет!$D110)))/$E110,0)</f>
        <v>0</v>
      </c>
      <c r="G110" s="232">
        <f t="shared" si="62"/>
        <v>1</v>
      </c>
      <c r="H110" s="42">
        <f>IFERROR(SUMPRODUCT(('Бюджет на запуск'!$D$165:$D$176)*('Бюджет на запуск'!H$165:H$176)*(('Бюджет на запуск'!$C$165:$C$176=Расчет!$D110)))/$E110,0)</f>
        <v>0</v>
      </c>
      <c r="I110" s="42">
        <f>IFERROR(SUMPRODUCT(('Бюджет на запуск'!$D$165:$D$176)*('Бюджет на запуск'!I$165:I$176)*(('Бюджет на запуск'!$C$165:$C$176=Расчет!$D110)))/$E110,0)</f>
        <v>0</v>
      </c>
      <c r="J110" s="42">
        <f>IFERROR(SUMPRODUCT(('Бюджет на запуск'!$D$165:$D$176)*('Бюджет на запуск'!J$165:J$176)*(('Бюджет на запуск'!$C$165:$C$176=Расчет!$D110)))/$E110,0)</f>
        <v>0</v>
      </c>
      <c r="K110" s="42">
        <f>IFERROR(SUMPRODUCT(('Бюджет на запуск'!$D$165:$D$176)*('Бюджет на запуск'!K$165:K$176)*(('Бюджет на запуск'!$C$165:$C$176=Расчет!$D110)))/$E110,0)</f>
        <v>0</v>
      </c>
      <c r="L110" s="42">
        <f>IFERROR(SUMPRODUCT(('Бюджет на запуск'!$D$165:$D$176)*('Бюджет на запуск'!L$165:L$176)*(('Бюджет на запуск'!$C$165:$C$176=Расчет!$D110)))/$E110,0)</f>
        <v>0.9</v>
      </c>
      <c r="M110" s="42">
        <f>IFERROR(SUMPRODUCT(('Бюджет на запуск'!$D$165:$D$176)*('Бюджет на запуск'!M$165:M$176)*(('Бюджет на запуск'!$C$165:$C$176=Расчет!$D110)))/$E110,0)</f>
        <v>0.1</v>
      </c>
      <c r="N110" s="42">
        <f>IFERROR(SUMPRODUCT(('Бюджет на запуск'!$D$165:$D$176)*('Бюджет на запуск'!N$165:N$176)*(('Бюджет на запуск'!$C$165:$C$176=Расчет!$D110)))/$E110,0)</f>
        <v>0</v>
      </c>
      <c r="O110" s="42">
        <f>IFERROR(SUMPRODUCT(('Бюджет на запуск'!$D$165:$D$176)*('Бюджет на запуск'!O$165:O$176)*(('Бюджет на запуск'!$C$165:$C$176=Расчет!$D110)))/$E110,0)</f>
        <v>0</v>
      </c>
      <c r="P110" s="42">
        <f>IFERROR(SUMPRODUCT(('Бюджет на запуск'!$D$165:$D$176)*('Бюджет на запуск'!P$165:P$176)*(('Бюджет на запуск'!$C$165:$C$176=Расчет!$D110)))/$E110,0)</f>
        <v>0</v>
      </c>
      <c r="Q110" s="42">
        <f>IFERROR(SUMPRODUCT(('Бюджет на запуск'!$D$165:$D$176)*('Бюджет на запуск'!Q$165:Q$176)*(('Бюджет на запуск'!$C$165:$C$176=Расчет!$D110)))/$E110,0)</f>
        <v>0</v>
      </c>
      <c r="R110" s="42">
        <f>IFERROR(SUMPRODUCT(('Бюджет на запуск'!$D$165:$D$176)*('Бюджет на запуск'!R$165:R$176)*(('Бюджет на запуск'!$C$165:$C$176=Расчет!$D110)))/$E110,0)</f>
        <v>0</v>
      </c>
      <c r="S110" s="42">
        <f>IFERROR(SUMPRODUCT(('Бюджет на запуск'!$D$165:$D$176)*('Бюджет на запуск'!S$165:S$176)*(('Бюджет на запуск'!$C$165:$C$176=Расчет!$D110)))/$E110,0)</f>
        <v>0</v>
      </c>
    </row>
    <row r="111" spans="1:19" s="2" customFormat="1" ht="16.5" x14ac:dyDescent="0.3">
      <c r="A111" s="223"/>
      <c r="B111" s="223"/>
      <c r="C111" s="200" t="str">
        <f>"Создание юридического лица, открытие р/с"&amp;" в "&amp;D111</f>
        <v>Создание юридического лица, открытие р/с в CNY</v>
      </c>
      <c r="D111" s="229" t="str">
        <f>'Бюджет на запуск'!$K$3</f>
        <v>CNY</v>
      </c>
      <c r="E111" s="230">
        <f>SUMIF('Бюджет на запуск'!$C$165:$C$176,Расчет!$D111,'Бюджет на запуск'!$D$165:$D$176)</f>
        <v>0</v>
      </c>
      <c r="F111" s="231">
        <f>IFERROR(SUMPRODUCT(('Бюджет на запуск'!$D$165:$D$176)*('Бюджет на запуск'!$E$165:$E$176)*(('Бюджет на запуск'!$C$165:$C$176=Расчет!$D111)))/$E111,0)</f>
        <v>0</v>
      </c>
      <c r="G111" s="232">
        <f t="shared" si="62"/>
        <v>1</v>
      </c>
      <c r="H111" s="42">
        <f>IFERROR(SUMPRODUCT(('Бюджет на запуск'!$D$165:$D$176)*('Бюджет на запуск'!H$165:H$176)*(('Бюджет на запуск'!$C$165:$C$176=Расчет!$D111)))/$E111,0)</f>
        <v>0</v>
      </c>
      <c r="I111" s="42">
        <f>IFERROR(SUMPRODUCT(('Бюджет на запуск'!$D$165:$D$176)*('Бюджет на запуск'!I$165:I$176)*(('Бюджет на запуск'!$C$165:$C$176=Расчет!$D111)))/$E111,0)</f>
        <v>0</v>
      </c>
      <c r="J111" s="42">
        <f>IFERROR(SUMPRODUCT(('Бюджет на запуск'!$D$165:$D$176)*('Бюджет на запуск'!J$165:J$176)*(('Бюджет на запуск'!$C$165:$C$176=Расчет!$D111)))/$E111,0)</f>
        <v>0</v>
      </c>
      <c r="K111" s="42">
        <f>IFERROR(SUMPRODUCT(('Бюджет на запуск'!$D$165:$D$176)*('Бюджет на запуск'!K$165:K$176)*(('Бюджет на запуск'!$C$165:$C$176=Расчет!$D111)))/$E111,0)</f>
        <v>0</v>
      </c>
      <c r="L111" s="42">
        <f>IFERROR(SUMPRODUCT(('Бюджет на запуск'!$D$165:$D$176)*('Бюджет на запуск'!L$165:L$176)*(('Бюджет на запуск'!$C$165:$C$176=Расчет!$D111)))/$E111,0)</f>
        <v>0</v>
      </c>
      <c r="M111" s="42">
        <f>IFERROR(SUMPRODUCT(('Бюджет на запуск'!$D$165:$D$176)*('Бюджет на запуск'!M$165:M$176)*(('Бюджет на запуск'!$C$165:$C$176=Расчет!$D111)))/$E111,0)</f>
        <v>0</v>
      </c>
      <c r="N111" s="42">
        <f>IFERROR(SUMPRODUCT(('Бюджет на запуск'!$D$165:$D$176)*('Бюджет на запуск'!N$165:N$176)*(('Бюджет на запуск'!$C$165:$C$176=Расчет!$D111)))/$E111,0)</f>
        <v>0</v>
      </c>
      <c r="O111" s="42">
        <f>IFERROR(SUMPRODUCT(('Бюджет на запуск'!$D$165:$D$176)*('Бюджет на запуск'!O$165:O$176)*(('Бюджет на запуск'!$C$165:$C$176=Расчет!$D111)))/$E111,0)</f>
        <v>0</v>
      </c>
      <c r="P111" s="42">
        <f>IFERROR(SUMPRODUCT(('Бюджет на запуск'!$D$165:$D$176)*('Бюджет на запуск'!P$165:P$176)*(('Бюджет на запуск'!$C$165:$C$176=Расчет!$D111)))/$E111,0)</f>
        <v>0</v>
      </c>
      <c r="Q111" s="42">
        <f>IFERROR(SUMPRODUCT(('Бюджет на запуск'!$D$165:$D$176)*('Бюджет на запуск'!Q$165:Q$176)*(('Бюджет на запуск'!$C$165:$C$176=Расчет!$D111)))/$E111,0)</f>
        <v>0</v>
      </c>
      <c r="R111" s="42">
        <f>IFERROR(SUMPRODUCT(('Бюджет на запуск'!$D$165:$D$176)*('Бюджет на запуск'!R$165:R$176)*(('Бюджет на запуск'!$C$165:$C$176=Расчет!$D111)))/$E111,0)</f>
        <v>0</v>
      </c>
      <c r="S111" s="42">
        <f>IFERROR(SUMPRODUCT(('Бюджет на запуск'!$D$165:$D$176)*('Бюджет на запуск'!S$165:S$176)*(('Бюджет на запуск'!$C$165:$C$176=Расчет!$D111)))/$E111,0)</f>
        <v>0</v>
      </c>
    </row>
    <row r="112" spans="1:19" s="2" customFormat="1" ht="16.5" x14ac:dyDescent="0.3">
      <c r="A112" s="223"/>
      <c r="B112" s="223"/>
      <c r="C112" s="200" t="str">
        <f>"Поиск партнеров"&amp;" в "&amp;D112</f>
        <v>Поиск партнеров в RUB</v>
      </c>
      <c r="D112" s="229" t="str">
        <f>'Бюджет на запуск'!$H$3</f>
        <v>RUB</v>
      </c>
      <c r="E112" s="230">
        <f>SUMIF('Бюджет на запуск'!$C$179:$C$182,Расчет!$D112,'Бюджет на запуск'!$D$179:$D$182)</f>
        <v>0</v>
      </c>
      <c r="F112" s="231">
        <f>IFERROR(SUMPRODUCT(('Бюджет на запуск'!$D$179:$D$182)*('Бюджет на запуск'!$E$179:$E$182)*(('Бюджет на запуск'!$C$179:$C$182=Расчет!$D112)))/$E112,0)</f>
        <v>0</v>
      </c>
      <c r="G112" s="232">
        <f t="shared" si="62"/>
        <v>1</v>
      </c>
      <c r="H112" s="42">
        <f>IFERROR(SUMPRODUCT(('Бюджет на запуск'!$D$179:$D$182)*('Бюджет на запуск'!H$179:H$182)*(('Бюджет на запуск'!$C$179:$C$182=Расчет!$D112)))/$E112,0)</f>
        <v>0</v>
      </c>
      <c r="I112" s="42">
        <f>IFERROR(SUMPRODUCT(('Бюджет на запуск'!$D$179:$D$182)*('Бюджет на запуск'!I$179:I$182)*(('Бюджет на запуск'!$C$179:$C$182=Расчет!$D112)))/$E112,0)</f>
        <v>0</v>
      </c>
      <c r="J112" s="42">
        <f>IFERROR(SUMPRODUCT(('Бюджет на запуск'!$D$179:$D$182)*('Бюджет на запуск'!J$179:J$182)*(('Бюджет на запуск'!$C$179:$C$182=Расчет!$D112)))/$E112,0)</f>
        <v>0</v>
      </c>
      <c r="K112" s="42">
        <f>IFERROR(SUMPRODUCT(('Бюджет на запуск'!$D$179:$D$182)*('Бюджет на запуск'!K$179:K$182)*(('Бюджет на запуск'!$C$179:$C$182=Расчет!$D112)))/$E112,0)</f>
        <v>0</v>
      </c>
      <c r="L112" s="42">
        <f>IFERROR(SUMPRODUCT(('Бюджет на запуск'!$D$179:$D$182)*('Бюджет на запуск'!L$179:L$182)*(('Бюджет на запуск'!$C$179:$C$182=Расчет!$D112)))/$E112,0)</f>
        <v>0</v>
      </c>
      <c r="M112" s="42">
        <f>IFERROR(SUMPRODUCT(('Бюджет на запуск'!$D$179:$D$182)*('Бюджет на запуск'!M$179:M$182)*(('Бюджет на запуск'!$C$179:$C$182=Расчет!$D112)))/$E112,0)</f>
        <v>0</v>
      </c>
      <c r="N112" s="42">
        <f>IFERROR(SUMPRODUCT(('Бюджет на запуск'!$D$179:$D$182)*('Бюджет на запуск'!N$179:N$182)*(('Бюджет на запуск'!$C$179:$C$182=Расчет!$D112)))/$E112,0)</f>
        <v>0</v>
      </c>
      <c r="O112" s="42">
        <f>IFERROR(SUMPRODUCT(('Бюджет на запуск'!$D$179:$D$182)*('Бюджет на запуск'!O$179:O$182)*(('Бюджет на запуск'!$C$179:$C$182=Расчет!$D112)))/$E112,0)</f>
        <v>0</v>
      </c>
      <c r="P112" s="42">
        <f>IFERROR(SUMPRODUCT(('Бюджет на запуск'!$D$179:$D$182)*('Бюджет на запуск'!P$179:P$182)*(('Бюджет на запуск'!$C$179:$C$182=Расчет!$D112)))/$E112,0)</f>
        <v>0</v>
      </c>
      <c r="Q112" s="42">
        <f>IFERROR(SUMPRODUCT(('Бюджет на запуск'!$D$179:$D$182)*('Бюджет на запуск'!Q$179:Q$182)*(('Бюджет на запуск'!$C$179:$C$182=Расчет!$D112)))/$E112,0)</f>
        <v>0</v>
      </c>
      <c r="R112" s="42">
        <f>IFERROR(SUMPRODUCT(('Бюджет на запуск'!$D$179:$D$182)*('Бюджет на запуск'!R$179:R$182)*(('Бюджет на запуск'!$C$179:$C$182=Расчет!$D112)))/$E112,0)</f>
        <v>0</v>
      </c>
      <c r="S112" s="42">
        <f>IFERROR(SUMPRODUCT(('Бюджет на запуск'!$D$179:$D$182)*('Бюджет на запуск'!S$179:S$182)*(('Бюджет на запуск'!$C$179:$C$182=Расчет!$D112)))/$E112,0)</f>
        <v>0</v>
      </c>
    </row>
    <row r="113" spans="1:19" s="2" customFormat="1" ht="16.5" x14ac:dyDescent="0.3">
      <c r="A113" s="223"/>
      <c r="B113" s="223"/>
      <c r="C113" s="200" t="str">
        <f t="shared" ref="C113:C114" si="65">"Поиск партнеров"&amp;" в "&amp;D113</f>
        <v>Поиск партнеров в AED</v>
      </c>
      <c r="D113" s="229" t="str">
        <f>'Бюджет на запуск'!$I$3</f>
        <v>AED</v>
      </c>
      <c r="E113" s="230">
        <f>SUMIF('Бюджет на запуск'!$C$179:$C$182,Расчет!$D113,'Бюджет на запуск'!$D$179:$D$182)</f>
        <v>1000</v>
      </c>
      <c r="F113" s="231">
        <f>IFERROR(SUMPRODUCT(('Бюджет на запуск'!$D$179:$D$182)*('Бюджет на запуск'!$E$179:$E$182)*(('Бюджет на запуск'!$C$179:$C$182=Расчет!$D113)))/$E113,0)</f>
        <v>0</v>
      </c>
      <c r="G113" s="232">
        <f t="shared" si="62"/>
        <v>0.99999999999999978</v>
      </c>
      <c r="H113" s="42">
        <f>IFERROR(SUMPRODUCT(('Бюджет на запуск'!$D$179:$D$182)*('Бюджет на запуск'!H$179:H$182)*(('Бюджет на запуск'!$C$179:$C$182=Расчет!$D113)))/$E113,0)</f>
        <v>0.14285714285714285</v>
      </c>
      <c r="I113" s="42">
        <f>IFERROR(SUMPRODUCT(('Бюджет на запуск'!$D$179:$D$182)*('Бюджет на запуск'!I$179:I$182)*(('Бюджет на запуск'!$C$179:$C$182=Расчет!$D113)))/$E113,0)</f>
        <v>0.14285714285714285</v>
      </c>
      <c r="J113" s="42">
        <f>IFERROR(SUMPRODUCT(('Бюджет на запуск'!$D$179:$D$182)*('Бюджет на запуск'!J$179:J$182)*(('Бюджет на запуск'!$C$179:$C$182=Расчет!$D113)))/$E113,0)</f>
        <v>0.14285714285714285</v>
      </c>
      <c r="K113" s="42">
        <f>IFERROR(SUMPRODUCT(('Бюджет на запуск'!$D$179:$D$182)*('Бюджет на запуск'!K$179:K$182)*(('Бюджет на запуск'!$C$179:$C$182=Расчет!$D113)))/$E113,0)</f>
        <v>0.14285714285714285</v>
      </c>
      <c r="L113" s="42">
        <f>IFERROR(SUMPRODUCT(('Бюджет на запуск'!$D$179:$D$182)*('Бюджет на запуск'!L$179:L$182)*(('Бюджет на запуск'!$C$179:$C$182=Расчет!$D113)))/$E113,0)</f>
        <v>0.14285714285714285</v>
      </c>
      <c r="M113" s="42">
        <f>IFERROR(SUMPRODUCT(('Бюджет на запуск'!$D$179:$D$182)*('Бюджет на запуск'!M$179:M$182)*(('Бюджет на запуск'!$C$179:$C$182=Расчет!$D113)))/$E113,0)</f>
        <v>0.14285714285714285</v>
      </c>
      <c r="N113" s="42">
        <f>IFERROR(SUMPRODUCT(('Бюджет на запуск'!$D$179:$D$182)*('Бюджет на запуск'!N$179:N$182)*(('Бюджет на запуск'!$C$179:$C$182=Расчет!$D113)))/$E113,0)</f>
        <v>0.14285714285714285</v>
      </c>
      <c r="O113" s="42">
        <f>IFERROR(SUMPRODUCT(('Бюджет на запуск'!$D$179:$D$182)*('Бюджет на запуск'!O$179:O$182)*(('Бюджет на запуск'!$C$179:$C$182=Расчет!$D113)))/$E113,0)</f>
        <v>0</v>
      </c>
      <c r="P113" s="42">
        <f>IFERROR(SUMPRODUCT(('Бюджет на запуск'!$D$179:$D$182)*('Бюджет на запуск'!P$179:P$182)*(('Бюджет на запуск'!$C$179:$C$182=Расчет!$D113)))/$E113,0)</f>
        <v>0</v>
      </c>
      <c r="Q113" s="42">
        <f>IFERROR(SUMPRODUCT(('Бюджет на запуск'!$D$179:$D$182)*('Бюджет на запуск'!Q$179:Q$182)*(('Бюджет на запуск'!$C$179:$C$182=Расчет!$D113)))/$E113,0)</f>
        <v>0</v>
      </c>
      <c r="R113" s="42">
        <f>IFERROR(SUMPRODUCT(('Бюджет на запуск'!$D$179:$D$182)*('Бюджет на запуск'!R$179:R$182)*(('Бюджет на запуск'!$C$179:$C$182=Расчет!$D113)))/$E113,0)</f>
        <v>0</v>
      </c>
      <c r="S113" s="42">
        <f>IFERROR(SUMPRODUCT(('Бюджет на запуск'!$D$179:$D$182)*('Бюджет на запуск'!S$179:S$182)*(('Бюджет на запуск'!$C$179:$C$182=Расчет!$D113)))/$E113,0)</f>
        <v>0</v>
      </c>
    </row>
    <row r="114" spans="1:19" s="2" customFormat="1" ht="16.5" x14ac:dyDescent="0.3">
      <c r="A114" s="223"/>
      <c r="B114" s="223"/>
      <c r="C114" s="200" t="str">
        <f t="shared" si="65"/>
        <v>Поиск партнеров в USD</v>
      </c>
      <c r="D114" s="229" t="str">
        <f>'Бюджет на запуск'!$J$3</f>
        <v>USD</v>
      </c>
      <c r="E114" s="230">
        <f>SUMIF('Бюджет на запуск'!$C$179:$C$182,Расчет!$D114,'Бюджет на запуск'!$D$179:$D$182)</f>
        <v>0</v>
      </c>
      <c r="F114" s="231">
        <f>IFERROR(SUMPRODUCT(('Бюджет на запуск'!$D$179:$D$182)*('Бюджет на запуск'!$E$179:$E$182)*(('Бюджет на запуск'!$C$179:$C$182=Расчет!$D114)))/$E114,0)</f>
        <v>0</v>
      </c>
      <c r="G114" s="232">
        <f t="shared" si="62"/>
        <v>1</v>
      </c>
      <c r="H114" s="42">
        <f>IFERROR(SUMPRODUCT(('Бюджет на запуск'!$D$179:$D$182)*('Бюджет на запуск'!H$179:H$182)*(('Бюджет на запуск'!$C$179:$C$182=Расчет!$D114)))/$E114,0)</f>
        <v>0</v>
      </c>
      <c r="I114" s="42">
        <f>IFERROR(SUMPRODUCT(('Бюджет на запуск'!$D$179:$D$182)*('Бюджет на запуск'!I$179:I$182)*(('Бюджет на запуск'!$C$179:$C$182=Расчет!$D114)))/$E114,0)</f>
        <v>0</v>
      </c>
      <c r="J114" s="42">
        <f>IFERROR(SUMPRODUCT(('Бюджет на запуск'!$D$179:$D$182)*('Бюджет на запуск'!J$179:J$182)*(('Бюджет на запуск'!$C$179:$C$182=Расчет!$D114)))/$E114,0)</f>
        <v>0</v>
      </c>
      <c r="K114" s="42">
        <f>IFERROR(SUMPRODUCT(('Бюджет на запуск'!$D$179:$D$182)*('Бюджет на запуск'!K$179:K$182)*(('Бюджет на запуск'!$C$179:$C$182=Расчет!$D114)))/$E114,0)</f>
        <v>0</v>
      </c>
      <c r="L114" s="42">
        <f>IFERROR(SUMPRODUCT(('Бюджет на запуск'!$D$179:$D$182)*('Бюджет на запуск'!L$179:L$182)*(('Бюджет на запуск'!$C$179:$C$182=Расчет!$D114)))/$E114,0)</f>
        <v>0</v>
      </c>
      <c r="M114" s="42">
        <f>IFERROR(SUMPRODUCT(('Бюджет на запуск'!$D$179:$D$182)*('Бюджет на запуск'!M$179:M$182)*(('Бюджет на запуск'!$C$179:$C$182=Расчет!$D114)))/$E114,0)</f>
        <v>0</v>
      </c>
      <c r="N114" s="42">
        <f>IFERROR(SUMPRODUCT(('Бюджет на запуск'!$D$179:$D$182)*('Бюджет на запуск'!N$179:N$182)*(('Бюджет на запуск'!$C$179:$C$182=Расчет!$D114)))/$E114,0)</f>
        <v>0</v>
      </c>
      <c r="O114" s="42">
        <f>IFERROR(SUMPRODUCT(('Бюджет на запуск'!$D$179:$D$182)*('Бюджет на запуск'!O$179:O$182)*(('Бюджет на запуск'!$C$179:$C$182=Расчет!$D114)))/$E114,0)</f>
        <v>0</v>
      </c>
      <c r="P114" s="42">
        <f>IFERROR(SUMPRODUCT(('Бюджет на запуск'!$D$179:$D$182)*('Бюджет на запуск'!P$179:P$182)*(('Бюджет на запуск'!$C$179:$C$182=Расчет!$D114)))/$E114,0)</f>
        <v>0</v>
      </c>
      <c r="Q114" s="42">
        <f>IFERROR(SUMPRODUCT(('Бюджет на запуск'!$D$179:$D$182)*('Бюджет на запуск'!Q$179:Q$182)*(('Бюджет на запуск'!$C$179:$C$182=Расчет!$D114)))/$E114,0)</f>
        <v>0</v>
      </c>
      <c r="R114" s="42">
        <f>IFERROR(SUMPRODUCT(('Бюджет на запуск'!$D$179:$D$182)*('Бюджет на запуск'!R$179:R$182)*(('Бюджет на запуск'!$C$179:$C$182=Расчет!$D114)))/$E114,0)</f>
        <v>0</v>
      </c>
      <c r="S114" s="42">
        <f>IFERROR(SUMPRODUCT(('Бюджет на запуск'!$D$179:$D$182)*('Бюджет на запуск'!S$179:S$182)*(('Бюджет на запуск'!$C$179:$C$182=Расчет!$D114)))/$E114,0)</f>
        <v>0</v>
      </c>
    </row>
    <row r="115" spans="1:19" s="2" customFormat="1" ht="16.5" x14ac:dyDescent="0.3">
      <c r="A115" s="223"/>
      <c r="B115" s="223"/>
      <c r="C115" s="200" t="str">
        <f>"Поиск партнеров"&amp;" в "&amp;D115</f>
        <v>Поиск партнеров в CNY</v>
      </c>
      <c r="D115" s="229" t="str">
        <f>'Бюджет на запуск'!$K$3</f>
        <v>CNY</v>
      </c>
      <c r="E115" s="230">
        <f>SUMIF('Бюджет на запуск'!$C$179:$C$182,Расчет!$D115,'Бюджет на запуск'!$D$179:$D$182)</f>
        <v>0</v>
      </c>
      <c r="F115" s="231">
        <f>IFERROR(SUMPRODUCT(('Бюджет на запуск'!$D$179:$D$182)*('Бюджет на запуск'!$E$179:$E$182)*(('Бюджет на запуск'!$C$179:$C$182=Расчет!$D115)))/$E115,0)</f>
        <v>0</v>
      </c>
      <c r="G115" s="232">
        <f t="shared" si="62"/>
        <v>1</v>
      </c>
      <c r="H115" s="42">
        <f>IFERROR(SUMPRODUCT(('Бюджет на запуск'!$D$179:$D$182)*('Бюджет на запуск'!H$179:H$182)*(('Бюджет на запуск'!$C$179:$C$182=Расчет!$D115)))/$E115,0)</f>
        <v>0</v>
      </c>
      <c r="I115" s="42">
        <f>IFERROR(SUMPRODUCT(('Бюджет на запуск'!$D$179:$D$182)*('Бюджет на запуск'!I$179:I$182)*(('Бюджет на запуск'!$C$179:$C$182=Расчет!$D115)))/$E115,0)</f>
        <v>0</v>
      </c>
      <c r="J115" s="42">
        <f>IFERROR(SUMPRODUCT(('Бюджет на запуск'!$D$179:$D$182)*('Бюджет на запуск'!J$179:J$182)*(('Бюджет на запуск'!$C$179:$C$182=Расчет!$D115)))/$E115,0)</f>
        <v>0</v>
      </c>
      <c r="K115" s="42">
        <f>IFERROR(SUMPRODUCT(('Бюджет на запуск'!$D$179:$D$182)*('Бюджет на запуск'!K$179:K$182)*(('Бюджет на запуск'!$C$179:$C$182=Расчет!$D115)))/$E115,0)</f>
        <v>0</v>
      </c>
      <c r="L115" s="42">
        <f>IFERROR(SUMPRODUCT(('Бюджет на запуск'!$D$179:$D$182)*('Бюджет на запуск'!L$179:L$182)*(('Бюджет на запуск'!$C$179:$C$182=Расчет!$D115)))/$E115,0)</f>
        <v>0</v>
      </c>
      <c r="M115" s="42">
        <f>IFERROR(SUMPRODUCT(('Бюджет на запуск'!$D$179:$D$182)*('Бюджет на запуск'!M$179:M$182)*(('Бюджет на запуск'!$C$179:$C$182=Расчет!$D115)))/$E115,0)</f>
        <v>0</v>
      </c>
      <c r="N115" s="42">
        <f>IFERROR(SUMPRODUCT(('Бюджет на запуск'!$D$179:$D$182)*('Бюджет на запуск'!N$179:N$182)*(('Бюджет на запуск'!$C$179:$C$182=Расчет!$D115)))/$E115,0)</f>
        <v>0</v>
      </c>
      <c r="O115" s="42">
        <f>IFERROR(SUMPRODUCT(('Бюджет на запуск'!$D$179:$D$182)*('Бюджет на запуск'!O$179:O$182)*(('Бюджет на запуск'!$C$179:$C$182=Расчет!$D115)))/$E115,0)</f>
        <v>0</v>
      </c>
      <c r="P115" s="42">
        <f>IFERROR(SUMPRODUCT(('Бюджет на запуск'!$D$179:$D$182)*('Бюджет на запуск'!P$179:P$182)*(('Бюджет на запуск'!$C$179:$C$182=Расчет!$D115)))/$E115,0)</f>
        <v>0</v>
      </c>
      <c r="Q115" s="42">
        <f>IFERROR(SUMPRODUCT(('Бюджет на запуск'!$D$179:$D$182)*('Бюджет на запуск'!Q$179:Q$182)*(('Бюджет на запуск'!$C$179:$C$182=Расчет!$D115)))/$E115,0)</f>
        <v>0</v>
      </c>
      <c r="R115" s="42">
        <f>IFERROR(SUMPRODUCT(('Бюджет на запуск'!$D$179:$D$182)*('Бюджет на запуск'!R$179:R$182)*(('Бюджет на запуск'!$C$179:$C$182=Расчет!$D115)))/$E115,0)</f>
        <v>0</v>
      </c>
      <c r="S115" s="42">
        <f>IFERROR(SUMPRODUCT(('Бюджет на запуск'!$D$179:$D$182)*('Бюджет на запуск'!S$179:S$182)*(('Бюджет на запуск'!$C$179:$C$182=Расчет!$D115)))/$E115,0)</f>
        <v>0</v>
      </c>
    </row>
    <row r="116" spans="1:19" s="2" customFormat="1" ht="16.5" x14ac:dyDescent="0.3">
      <c r="A116" s="223"/>
      <c r="B116" s="223"/>
      <c r="C116" s="200"/>
      <c r="D116" s="229"/>
      <c r="E116" s="235"/>
      <c r="F116" s="236"/>
      <c r="G116" s="232"/>
      <c r="H116" s="200"/>
      <c r="I116" s="229"/>
      <c r="J116" s="235"/>
      <c r="K116" s="236"/>
      <c r="L116" s="232"/>
      <c r="M116" s="200"/>
      <c r="N116" s="229"/>
      <c r="O116" s="235"/>
      <c r="P116" s="236"/>
      <c r="Q116" s="232"/>
      <c r="R116" s="200"/>
      <c r="S116" s="229"/>
    </row>
    <row r="117" spans="1:19" s="2" customFormat="1" ht="16.5" x14ac:dyDescent="0.3">
      <c r="A117" s="223"/>
      <c r="B117" s="223"/>
      <c r="C117" s="200" t="str">
        <f>'Бюджет на запуск'!$B$185</f>
        <v>Производственный персонал:</v>
      </c>
      <c r="D117" s="229"/>
      <c r="E117" s="235"/>
      <c r="F117" s="236"/>
      <c r="G117" s="232"/>
      <c r="H117" s="200"/>
      <c r="I117" s="229"/>
      <c r="J117" s="235"/>
      <c r="K117" s="236"/>
      <c r="L117" s="232"/>
      <c r="M117" s="200"/>
      <c r="N117" s="229"/>
      <c r="O117" s="235"/>
      <c r="P117" s="236"/>
      <c r="Q117" s="232"/>
      <c r="R117" s="200"/>
      <c r="S117" s="229"/>
    </row>
    <row r="118" spans="1:19" s="2" customFormat="1" ht="16.5" x14ac:dyDescent="0.3">
      <c r="A118" s="223"/>
      <c r="B118" s="223"/>
      <c r="C118" s="219" t="str">
        <f>'Бюджет на запуск'!$B$186</f>
        <v>производственный персонал</v>
      </c>
      <c r="D118" s="229" t="str">
        <f>'Бюджет на запуск'!$C$186</f>
        <v>RUB</v>
      </c>
      <c r="E118" s="230">
        <f>SUM(H118:S118)</f>
        <v>3060000</v>
      </c>
      <c r="F118" s="231">
        <f>'Бюджет на запуск'!$E$186</f>
        <v>0</v>
      </c>
      <c r="G118" s="232"/>
      <c r="H118" s="237">
        <f>'Бюджет на запуск'!$D186*'Бюджет на запуск'!H186</f>
        <v>0</v>
      </c>
      <c r="I118" s="237">
        <f>'Бюджет на запуск'!$D186*'Бюджет на запуск'!I186</f>
        <v>85000</v>
      </c>
      <c r="J118" s="237">
        <f>'Бюджет на запуск'!$D186*'Бюджет на запуск'!J186</f>
        <v>170000</v>
      </c>
      <c r="K118" s="237">
        <f>'Бюджет на запуск'!$D186*'Бюджет на запуск'!K186</f>
        <v>170000</v>
      </c>
      <c r="L118" s="237">
        <f>'Бюджет на запуск'!$D186*'Бюджет на запуск'!L186</f>
        <v>170000</v>
      </c>
      <c r="M118" s="237">
        <f>'Бюджет на запуск'!$D186*'Бюджет на запуск'!M186</f>
        <v>170000</v>
      </c>
      <c r="N118" s="237">
        <f>'Бюджет на запуск'!$D186*'Бюджет на запуск'!N186</f>
        <v>170000</v>
      </c>
      <c r="O118" s="237">
        <f>'Бюджет на запуск'!$D186*'Бюджет на запуск'!O186</f>
        <v>425000</v>
      </c>
      <c r="P118" s="237">
        <f>'Бюджет на запуск'!$D186*'Бюджет на запуск'!P186</f>
        <v>425000</v>
      </c>
      <c r="Q118" s="237">
        <f>'Бюджет на запуск'!$D186*'Бюджет на запуск'!Q186</f>
        <v>425000</v>
      </c>
      <c r="R118" s="237">
        <f>'Бюджет на запуск'!$D186*'Бюджет на запуск'!R186</f>
        <v>425000</v>
      </c>
      <c r="S118" s="237">
        <f>'Бюджет на запуск'!$D186*'Бюджет на запуск'!S186</f>
        <v>425000</v>
      </c>
    </row>
    <row r="119" spans="1:19" s="2" customFormat="1" ht="16.5" x14ac:dyDescent="0.3">
      <c r="A119" s="223"/>
      <c r="B119" s="223"/>
      <c r="C119" s="219" t="str">
        <f>'Бюджет на запуск'!$B$187</f>
        <v>инженерно-технический персонал</v>
      </c>
      <c r="D119" s="229" t="str">
        <f>'Бюджет на запуск'!$C$187</f>
        <v>RUB</v>
      </c>
      <c r="E119" s="230">
        <f>SUM(H119:S119)</f>
        <v>1445000</v>
      </c>
      <c r="F119" s="231">
        <f>'Бюджет на запуск'!$E$187</f>
        <v>0</v>
      </c>
      <c r="G119" s="232"/>
      <c r="H119" s="237">
        <f>'Бюджет на запуск'!$D187*'Бюджет на запуск'!H187</f>
        <v>0</v>
      </c>
      <c r="I119" s="237">
        <f>'Бюджет на запуск'!$D187*'Бюджет на запуск'!I187</f>
        <v>170000</v>
      </c>
      <c r="J119" s="237">
        <f>'Бюджет на запуск'!$D187*'Бюджет на запуск'!J187</f>
        <v>170000</v>
      </c>
      <c r="K119" s="237">
        <f>'Бюджет на запуск'!$D187*'Бюджет на запуск'!K187</f>
        <v>170000</v>
      </c>
      <c r="L119" s="237">
        <f>'Бюджет на запуск'!$D187*'Бюджет на запуск'!L187</f>
        <v>170000</v>
      </c>
      <c r="M119" s="237">
        <f>'Бюджет на запуск'!$D187*'Бюджет на запуск'!M187</f>
        <v>170000</v>
      </c>
      <c r="N119" s="237">
        <f>'Бюджет на запуск'!$D187*'Бюджет на запуск'!N187</f>
        <v>170000</v>
      </c>
      <c r="O119" s="237">
        <f>'Бюджет на запуск'!$D187*'Бюджет на запуск'!O187</f>
        <v>85000</v>
      </c>
      <c r="P119" s="237">
        <f>'Бюджет на запуск'!$D187*'Бюджет на запуск'!P187</f>
        <v>85000</v>
      </c>
      <c r="Q119" s="237">
        <f>'Бюджет на запуск'!$D187*'Бюджет на запуск'!Q187</f>
        <v>85000</v>
      </c>
      <c r="R119" s="237">
        <f>'Бюджет на запуск'!$D187*'Бюджет на запуск'!R187</f>
        <v>85000</v>
      </c>
      <c r="S119" s="237">
        <f>'Бюджет на запуск'!$D187*'Бюджет на запуск'!S187</f>
        <v>85000</v>
      </c>
    </row>
    <row r="120" spans="1:19" s="2" customFormat="1" ht="16.5" x14ac:dyDescent="0.3">
      <c r="A120" s="223"/>
      <c r="B120" s="223"/>
      <c r="C120" s="200"/>
      <c r="D120" s="229"/>
      <c r="E120" s="235"/>
      <c r="F120" s="236"/>
      <c r="G120" s="232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</row>
    <row r="121" spans="1:19" s="2" customFormat="1" ht="16.5" x14ac:dyDescent="0.3">
      <c r="A121" s="223"/>
      <c r="B121" s="223"/>
      <c r="C121" s="200" t="str">
        <f>'Бюджет на запуск'!$B$189</f>
        <v>Услуги сторонних организаций:</v>
      </c>
      <c r="D121" s="229"/>
      <c r="E121" s="235"/>
      <c r="F121" s="236"/>
      <c r="G121" s="232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</row>
    <row r="122" spans="1:19" s="2" customFormat="1" ht="16.5" x14ac:dyDescent="0.3">
      <c r="A122" s="223"/>
      <c r="B122" s="223"/>
      <c r="C122" s="219" t="str">
        <f>'Бюджет на запуск'!$B$190</f>
        <v>выполнение отдельных операций / услуг</v>
      </c>
      <c r="D122" s="229" t="str">
        <f>'Бюджет на запуск'!$C$190</f>
        <v>RUB</v>
      </c>
      <c r="E122" s="230">
        <f>SUM(H122:S122)</f>
        <v>17500</v>
      </c>
      <c r="F122" s="231">
        <f>'Бюджет на запуск'!$E$190</f>
        <v>0.2</v>
      </c>
      <c r="G122" s="232"/>
      <c r="H122" s="237">
        <f>'Бюджет на запуск'!$D190*'Бюджет на запуск'!H190</f>
        <v>0</v>
      </c>
      <c r="I122" s="237">
        <f>'Бюджет на запуск'!$D190*'Бюджет на запуск'!I190</f>
        <v>0</v>
      </c>
      <c r="J122" s="237">
        <f>'Бюджет на запуск'!$D190*'Бюджет на запуск'!J190</f>
        <v>0</v>
      </c>
      <c r="K122" s="237">
        <f>'Бюджет на запуск'!$D190*'Бюджет на запуск'!K190</f>
        <v>0</v>
      </c>
      <c r="L122" s="237">
        <f>'Бюджет на запуск'!$D190*'Бюджет на запуск'!L190</f>
        <v>0</v>
      </c>
      <c r="M122" s="237">
        <f>'Бюджет на запуск'!$D190*'Бюджет на запуск'!M190</f>
        <v>0</v>
      </c>
      <c r="N122" s="237">
        <f>'Бюджет на запуск'!$D190*'Бюджет на запуск'!N190</f>
        <v>0</v>
      </c>
      <c r="O122" s="237">
        <f>'Бюджет на запуск'!$D190*'Бюджет на запуск'!O190</f>
        <v>3500</v>
      </c>
      <c r="P122" s="237">
        <f>'Бюджет на запуск'!$D190*'Бюджет на запуск'!P190</f>
        <v>3500</v>
      </c>
      <c r="Q122" s="237">
        <f>'Бюджет на запуск'!$D190*'Бюджет на запуск'!Q190</f>
        <v>3500</v>
      </c>
      <c r="R122" s="237">
        <f>'Бюджет на запуск'!$D190*'Бюджет на запуск'!R190</f>
        <v>3500</v>
      </c>
      <c r="S122" s="237">
        <f>'Бюджет на запуск'!$D190*'Бюджет на запуск'!S190</f>
        <v>3500</v>
      </c>
    </row>
    <row r="123" spans="1:19" s="2" customFormat="1" ht="16.5" x14ac:dyDescent="0.3">
      <c r="A123" s="223"/>
      <c r="B123" s="223"/>
      <c r="C123" s="219" t="str">
        <f>'Бюджет на запуск'!$B$191</f>
        <v>выполнение отдельных операций / услуг</v>
      </c>
      <c r="D123" s="229" t="str">
        <f>'Бюджет на запуск'!$C$191</f>
        <v>RUB</v>
      </c>
      <c r="E123" s="230">
        <f>SUM(H123:S123)</f>
        <v>50000</v>
      </c>
      <c r="F123" s="231">
        <f>'Бюджет на запуск'!$E$191</f>
        <v>0.2</v>
      </c>
      <c r="G123" s="232"/>
      <c r="H123" s="237">
        <f>'Бюджет на запуск'!$D191*'Бюджет на запуск'!H191</f>
        <v>0</v>
      </c>
      <c r="I123" s="237">
        <f>'Бюджет на запуск'!$D191*'Бюджет на запуск'!I191</f>
        <v>0</v>
      </c>
      <c r="J123" s="237">
        <f>'Бюджет на запуск'!$D191*'Бюджет на запуск'!J191</f>
        <v>0</v>
      </c>
      <c r="K123" s="237">
        <f>'Бюджет на запуск'!$D191*'Бюджет на запуск'!K191</f>
        <v>0</v>
      </c>
      <c r="L123" s="237">
        <f>'Бюджет на запуск'!$D191*'Бюджет на запуск'!L191</f>
        <v>0</v>
      </c>
      <c r="M123" s="237">
        <f>'Бюджет на запуск'!$D191*'Бюджет на запуск'!M191</f>
        <v>0</v>
      </c>
      <c r="N123" s="237">
        <f>'Бюджет на запуск'!$D191*'Бюджет на запуск'!N191</f>
        <v>0</v>
      </c>
      <c r="O123" s="237">
        <f>'Бюджет на запуск'!$D191*'Бюджет на запуск'!O191</f>
        <v>10000</v>
      </c>
      <c r="P123" s="237">
        <f>'Бюджет на запуск'!$D191*'Бюджет на запуск'!P191</f>
        <v>10000</v>
      </c>
      <c r="Q123" s="237">
        <f>'Бюджет на запуск'!$D191*'Бюджет на запуск'!Q191</f>
        <v>10000</v>
      </c>
      <c r="R123" s="237">
        <f>'Бюджет на запуск'!$D191*'Бюджет на запуск'!R191</f>
        <v>10000</v>
      </c>
      <c r="S123" s="237">
        <f>'Бюджет на запуск'!$D191*'Бюджет на запуск'!S191</f>
        <v>10000</v>
      </c>
    </row>
    <row r="124" spans="1:19" s="2" customFormat="1" ht="16.5" x14ac:dyDescent="0.3">
      <c r="A124" s="223"/>
      <c r="B124" s="223"/>
      <c r="C124" s="200"/>
      <c r="D124" s="229"/>
      <c r="E124" s="235"/>
      <c r="F124" s="236"/>
      <c r="G124" s="232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</row>
    <row r="125" spans="1:19" s="2" customFormat="1" ht="16.5" x14ac:dyDescent="0.3">
      <c r="A125" s="223"/>
      <c r="B125" s="223"/>
      <c r="C125" s="200" t="str">
        <f>'Бюджет на запуск'!$B$193</f>
        <v>Непроизводственный персонал:</v>
      </c>
      <c r="D125" s="229"/>
      <c r="E125" s="235"/>
      <c r="F125" s="236"/>
      <c r="G125" s="232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</row>
    <row r="126" spans="1:19" s="2" customFormat="1" ht="16.5" x14ac:dyDescent="0.3">
      <c r="A126" s="223"/>
      <c r="B126" s="223"/>
      <c r="C126" s="219" t="str">
        <f>'Бюджет на запуск'!$B$194</f>
        <v>руководитель проекта</v>
      </c>
      <c r="D126" s="229" t="str">
        <f>'Бюджет на запуск'!$C$194</f>
        <v>USD</v>
      </c>
      <c r="E126" s="230">
        <f>SUM(H126:S126)</f>
        <v>24000</v>
      </c>
      <c r="F126" s="230">
        <f>'Бюджет на запуск'!$E$194</f>
        <v>0</v>
      </c>
      <c r="G126" s="232"/>
      <c r="H126" s="237">
        <f>'Бюджет на запуск'!$D194*'Бюджет на запуск'!H194</f>
        <v>2000</v>
      </c>
      <c r="I126" s="237">
        <f>'Бюджет на запуск'!$D194*'Бюджет на запуск'!I194</f>
        <v>2000</v>
      </c>
      <c r="J126" s="237">
        <f>'Бюджет на запуск'!$D194*'Бюджет на запуск'!J194</f>
        <v>2000</v>
      </c>
      <c r="K126" s="237">
        <f>'Бюджет на запуск'!$D194*'Бюджет на запуск'!K194</f>
        <v>2000</v>
      </c>
      <c r="L126" s="237">
        <f>'Бюджет на запуск'!$D194*'Бюджет на запуск'!L194</f>
        <v>2000</v>
      </c>
      <c r="M126" s="237">
        <f>'Бюджет на запуск'!$D194*'Бюджет на запуск'!M194</f>
        <v>2000</v>
      </c>
      <c r="N126" s="237">
        <f>'Бюджет на запуск'!$D194*'Бюджет на запуск'!N194</f>
        <v>2000</v>
      </c>
      <c r="O126" s="237">
        <f>'Бюджет на запуск'!$D194*'Бюджет на запуск'!O194</f>
        <v>2000</v>
      </c>
      <c r="P126" s="237">
        <f>'Бюджет на запуск'!$D194*'Бюджет на запуск'!P194</f>
        <v>2000</v>
      </c>
      <c r="Q126" s="237">
        <f>'Бюджет на запуск'!$D194*'Бюджет на запуск'!Q194</f>
        <v>2000</v>
      </c>
      <c r="R126" s="237">
        <f>'Бюджет на запуск'!$D194*'Бюджет на запуск'!R194</f>
        <v>2000</v>
      </c>
      <c r="S126" s="237">
        <f>'Бюджет на запуск'!$D194*'Бюджет на запуск'!S194</f>
        <v>2000</v>
      </c>
    </row>
    <row r="127" spans="1:19" s="2" customFormat="1" ht="16.5" x14ac:dyDescent="0.3">
      <c r="A127" s="223"/>
      <c r="B127" s="223"/>
      <c r="C127" s="219" t="str">
        <f>'Бюджет на запуск'!$B$195</f>
        <v>переводчик</v>
      </c>
      <c r="D127" s="229" t="str">
        <f>'Бюджет на запуск'!$C$195</f>
        <v>USD</v>
      </c>
      <c r="E127" s="230">
        <f>SUM(H127:S127)</f>
        <v>9000</v>
      </c>
      <c r="F127" s="230">
        <f>'Бюджет на запуск'!$E$195</f>
        <v>0</v>
      </c>
      <c r="G127" s="232"/>
      <c r="H127" s="237">
        <f>'Бюджет на запуск'!$D195*'Бюджет на запуск'!H195</f>
        <v>750</v>
      </c>
      <c r="I127" s="237">
        <f>'Бюджет на запуск'!$D195*'Бюджет на запуск'!I195</f>
        <v>750</v>
      </c>
      <c r="J127" s="237">
        <f>'Бюджет на запуск'!$D195*'Бюджет на запуск'!J195</f>
        <v>750</v>
      </c>
      <c r="K127" s="237">
        <f>'Бюджет на запуск'!$D195*'Бюджет на запуск'!K195</f>
        <v>750</v>
      </c>
      <c r="L127" s="237">
        <f>'Бюджет на запуск'!$D195*'Бюджет на запуск'!L195</f>
        <v>750</v>
      </c>
      <c r="M127" s="237">
        <f>'Бюджет на запуск'!$D195*'Бюджет на запуск'!M195</f>
        <v>750</v>
      </c>
      <c r="N127" s="237">
        <f>'Бюджет на запуск'!$D195*'Бюджет на запуск'!N195</f>
        <v>750</v>
      </c>
      <c r="O127" s="237">
        <f>'Бюджет на запуск'!$D195*'Бюджет на запуск'!O195</f>
        <v>750</v>
      </c>
      <c r="P127" s="237">
        <f>'Бюджет на запуск'!$D195*'Бюджет на запуск'!P195</f>
        <v>750</v>
      </c>
      <c r="Q127" s="237">
        <f>'Бюджет на запуск'!$D195*'Бюджет на запуск'!Q195</f>
        <v>750</v>
      </c>
      <c r="R127" s="237">
        <f>'Бюджет на запуск'!$D195*'Бюджет на запуск'!R195</f>
        <v>750</v>
      </c>
      <c r="S127" s="237">
        <f>'Бюджет на запуск'!$D195*'Бюджет на запуск'!S195</f>
        <v>750</v>
      </c>
    </row>
    <row r="128" spans="1:19" s="2" customFormat="1" ht="16.5" x14ac:dyDescent="0.3">
      <c r="A128" s="223"/>
      <c r="B128" s="223"/>
      <c r="C128" s="219" t="str">
        <f>'Бюджет на запуск'!$B$196</f>
        <v>юрист</v>
      </c>
      <c r="D128" s="229" t="str">
        <f>'Бюджет на запуск'!$C$196</f>
        <v>USD</v>
      </c>
      <c r="E128" s="230">
        <f>SUM(H128:S128)</f>
        <v>6000</v>
      </c>
      <c r="F128" s="230">
        <f>'Бюджет на запуск'!$E$196</f>
        <v>0</v>
      </c>
      <c r="G128" s="232"/>
      <c r="H128" s="237">
        <f>'Бюджет на запуск'!$D196*'Бюджет на запуск'!H196</f>
        <v>0</v>
      </c>
      <c r="I128" s="237">
        <f>'Бюджет на запуск'!$D196*'Бюджет на запуск'!I196</f>
        <v>0</v>
      </c>
      <c r="J128" s="237">
        <f>'Бюджет на запуск'!$D196*'Бюджет на запуск'!J196</f>
        <v>750</v>
      </c>
      <c r="K128" s="237">
        <f>'Бюджет на запуск'!$D196*'Бюджет на запуск'!K196</f>
        <v>750</v>
      </c>
      <c r="L128" s="237">
        <f>'Бюджет на запуск'!$D196*'Бюджет на запуск'!L196</f>
        <v>750</v>
      </c>
      <c r="M128" s="237">
        <f>'Бюджет на запуск'!$D196*'Бюджет на запуск'!M196</f>
        <v>750</v>
      </c>
      <c r="N128" s="237">
        <f>'Бюджет на запуск'!$D196*'Бюджет на запуск'!N196</f>
        <v>750</v>
      </c>
      <c r="O128" s="237">
        <f>'Бюджет на запуск'!$D196*'Бюджет на запуск'!O196</f>
        <v>750</v>
      </c>
      <c r="P128" s="237">
        <f>'Бюджет на запуск'!$D196*'Бюджет на запуск'!P196</f>
        <v>750</v>
      </c>
      <c r="Q128" s="237">
        <f>'Бюджет на запуск'!$D196*'Бюджет на запуск'!Q196</f>
        <v>750</v>
      </c>
      <c r="R128" s="237">
        <f>'Бюджет на запуск'!$D196*'Бюджет на запуск'!R196</f>
        <v>0</v>
      </c>
      <c r="S128" s="237">
        <f>'Бюджет на запуск'!$D196*'Бюджет на запуск'!S196</f>
        <v>0</v>
      </c>
    </row>
    <row r="129" spans="1:19" s="2" customFormat="1" ht="16.5" x14ac:dyDescent="0.3">
      <c r="A129" s="223"/>
      <c r="B129" s="223"/>
      <c r="C129" s="219" t="str">
        <f>'Бюджет на запуск'!$B$197</f>
        <v>бухгалтер</v>
      </c>
      <c r="D129" s="229" t="str">
        <f>'Бюджет на запуск'!$C$197</f>
        <v>USD</v>
      </c>
      <c r="E129" s="230">
        <f>SUM(H129:S129)</f>
        <v>8250</v>
      </c>
      <c r="F129" s="230">
        <f>'Бюджет на запуск'!$E$197</f>
        <v>0</v>
      </c>
      <c r="G129" s="232"/>
      <c r="H129" s="237">
        <f>'Бюджет на запуск'!$D197*'Бюджет на запуск'!H197</f>
        <v>0</v>
      </c>
      <c r="I129" s="237">
        <f>'Бюджет на запуск'!$D197*'Бюджет на запуск'!I197</f>
        <v>750</v>
      </c>
      <c r="J129" s="237">
        <f>'Бюджет на запуск'!$D197*'Бюджет на запуск'!J197</f>
        <v>750</v>
      </c>
      <c r="K129" s="237">
        <f>'Бюджет на запуск'!$D197*'Бюджет на запуск'!K197</f>
        <v>750</v>
      </c>
      <c r="L129" s="237">
        <f>'Бюджет на запуск'!$D197*'Бюджет на запуск'!L197</f>
        <v>750</v>
      </c>
      <c r="M129" s="237">
        <f>'Бюджет на запуск'!$D197*'Бюджет на запуск'!M197</f>
        <v>750</v>
      </c>
      <c r="N129" s="237">
        <f>'Бюджет на запуск'!$D197*'Бюджет на запуск'!N197</f>
        <v>750</v>
      </c>
      <c r="O129" s="237">
        <f>'Бюджет на запуск'!$D197*'Бюджет на запуск'!O197</f>
        <v>750</v>
      </c>
      <c r="P129" s="237">
        <f>'Бюджет на запуск'!$D197*'Бюджет на запуск'!P197</f>
        <v>750</v>
      </c>
      <c r="Q129" s="237">
        <f>'Бюджет на запуск'!$D197*'Бюджет на запуск'!Q197</f>
        <v>750</v>
      </c>
      <c r="R129" s="237">
        <f>'Бюджет на запуск'!$D197*'Бюджет на запуск'!R197</f>
        <v>750</v>
      </c>
      <c r="S129" s="237">
        <f>'Бюджет на запуск'!$D197*'Бюджет на запуск'!S197</f>
        <v>750</v>
      </c>
    </row>
    <row r="130" spans="1:19" s="2" customFormat="1" ht="16.5" x14ac:dyDescent="0.3">
      <c r="A130" s="223"/>
      <c r="B130" s="223"/>
      <c r="C130" s="219" t="str">
        <f>'Бюджет на запуск'!$B$198</f>
        <v>IT</v>
      </c>
      <c r="D130" s="229" t="str">
        <f>'Бюджет на запуск'!$C$198</f>
        <v>USD</v>
      </c>
      <c r="E130" s="230">
        <f>SUM(H130:S130)</f>
        <v>4500</v>
      </c>
      <c r="F130" s="230">
        <f>'Бюджет на запуск'!$E$198</f>
        <v>0</v>
      </c>
      <c r="G130" s="232"/>
      <c r="H130" s="237">
        <f>'Бюджет на запуск'!$D198*'Бюджет на запуск'!H198</f>
        <v>0</v>
      </c>
      <c r="I130" s="237">
        <f>'Бюджет на запуск'!$D198*'Бюджет на запуск'!I198</f>
        <v>750</v>
      </c>
      <c r="J130" s="237">
        <f>'Бюджет на запуск'!$D198*'Бюджет на запуск'!J198</f>
        <v>750</v>
      </c>
      <c r="K130" s="237">
        <f>'Бюджет на запуск'!$D198*'Бюджет на запуск'!K198</f>
        <v>750</v>
      </c>
      <c r="L130" s="237">
        <f>'Бюджет на запуск'!$D198*'Бюджет на запуск'!L198</f>
        <v>750</v>
      </c>
      <c r="M130" s="237">
        <f>'Бюджет на запуск'!$D198*'Бюджет на запуск'!M198</f>
        <v>750</v>
      </c>
      <c r="N130" s="237">
        <f>'Бюджет на запуск'!$D198*'Бюджет на запуск'!N198</f>
        <v>750</v>
      </c>
      <c r="O130" s="237">
        <f>'Бюджет на запуск'!$D198*'Бюджет на запуск'!O198</f>
        <v>0</v>
      </c>
      <c r="P130" s="237">
        <f>'Бюджет на запуск'!$D198*'Бюджет на запуск'!P198</f>
        <v>0</v>
      </c>
      <c r="Q130" s="237">
        <f>'Бюджет на запуск'!$D198*'Бюджет на запуск'!Q198</f>
        <v>0</v>
      </c>
      <c r="R130" s="237">
        <f>'Бюджет на запуск'!$D198*'Бюджет на запуск'!R198</f>
        <v>0</v>
      </c>
      <c r="S130" s="237">
        <f>'Бюджет на запуск'!$D198*'Бюджет на запуск'!S198</f>
        <v>0</v>
      </c>
    </row>
    <row r="131" spans="1:19" s="2" customFormat="1" ht="16.5" x14ac:dyDescent="0.3">
      <c r="A131" s="223"/>
      <c r="B131" s="223"/>
      <c r="C131" s="219"/>
      <c r="D131" s="229"/>
      <c r="E131" s="235"/>
      <c r="F131" s="236"/>
      <c r="G131" s="232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</row>
    <row r="132" spans="1:19" s="8" customFormat="1" ht="15" customHeight="1" x14ac:dyDescent="0.25">
      <c r="A132" s="196"/>
      <c r="B132" s="208">
        <f>MAX($B$1:B131,0)+1</f>
        <v>4</v>
      </c>
      <c r="C132" s="198" t="s">
        <v>26</v>
      </c>
      <c r="D132" s="199"/>
      <c r="E132" s="196"/>
      <c r="F132" s="196"/>
      <c r="G132" s="199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</row>
    <row r="133" spans="1:19" s="2" customFormat="1" ht="16.5" x14ac:dyDescent="0.3">
      <c r="A133" s="238"/>
      <c r="B133" s="238"/>
      <c r="C133" s="223"/>
      <c r="D133" s="223"/>
      <c r="E133" s="233"/>
      <c r="F133" s="223"/>
      <c r="G133" s="239"/>
      <c r="H133" s="240"/>
      <c r="I133" s="240"/>
      <c r="J133" s="240"/>
      <c r="K133" s="240"/>
      <c r="L133" s="240"/>
      <c r="M133" s="240"/>
      <c r="N133" s="240"/>
      <c r="O133" s="240"/>
      <c r="P133" s="223"/>
      <c r="Q133" s="223"/>
      <c r="R133" s="223"/>
      <c r="S133" s="223"/>
    </row>
    <row r="134" spans="1:19" s="2" customFormat="1" ht="16.5" x14ac:dyDescent="0.3">
      <c r="A134" s="238"/>
      <c r="B134" s="238"/>
      <c r="C134" s="223"/>
      <c r="D134" s="223"/>
      <c r="E134" s="226" t="s">
        <v>60</v>
      </c>
      <c r="F134" s="226" t="s">
        <v>30</v>
      </c>
      <c r="G134" s="241"/>
      <c r="H134" s="240"/>
      <c r="I134" s="240"/>
      <c r="J134" s="240"/>
      <c r="K134" s="240"/>
      <c r="L134" s="240"/>
      <c r="M134" s="240"/>
      <c r="N134" s="240"/>
      <c r="O134" s="240"/>
      <c r="P134" s="223"/>
      <c r="Q134" s="223"/>
      <c r="R134" s="223"/>
      <c r="S134" s="223"/>
    </row>
    <row r="135" spans="1:19" s="2" customFormat="1" x14ac:dyDescent="0.25">
      <c r="A135" s="238"/>
      <c r="B135" s="238"/>
      <c r="C135" s="200" t="s">
        <v>18</v>
      </c>
      <c r="D135" s="242" t="s">
        <v>12</v>
      </c>
      <c r="E135" s="237">
        <f t="shared" ref="E135:E166" ca="1" si="66">SUM(H135:S135)</f>
        <v>0</v>
      </c>
      <c r="F135" s="243">
        <f>F40</f>
        <v>0</v>
      </c>
      <c r="G135" s="244"/>
      <c r="H135" s="237">
        <f ca="1">IFERROR(IF($D40="RUB",$E40*H40*(1+H$29),$E40*H40*(1+INDEX(H$30:H$35,MATCH("Инфляция "&amp;$D40,$C$30:$C$35,0)+1))*INDEX(Расчет!H$17:H$19,MATCH($D40&amp;"/RUB",$C$17:$C$19,0))),0)</f>
        <v>0</v>
      </c>
      <c r="I135" s="237">
        <f ca="1">IFERROR(IF($D40="RUB",$E40*I40*(1+I$29),$E40*I40*(1+INDEX(I$30:I$35,MATCH("Инфляция "&amp;$D40,$C$30:$C$35,0)+1))*INDEX(Расчет!I$17:I$19,MATCH($D40&amp;"/RUB",$C$17:$C$19,0))),0)</f>
        <v>0</v>
      </c>
      <c r="J135" s="237">
        <f ca="1">IFERROR(IF($D40="RUB",$E40*J40*(1+J$29),$E40*J40*(1+INDEX(J$30:J$35,MATCH("Инфляция "&amp;$D40,$C$30:$C$35,0)+1))*INDEX(Расчет!J$17:J$19,MATCH($D40&amp;"/RUB",$C$17:$C$19,0))),0)</f>
        <v>0</v>
      </c>
      <c r="K135" s="237">
        <f ca="1">IFERROR(IF($D40="RUB",$E40*K40*(1+K$29),$E40*K40*(1+INDEX(K$30:K$35,MATCH("Инфляция "&amp;$D40,$C$30:$C$35,0)+1))*INDEX(Расчет!K$17:K$19,MATCH($D40&amp;"/RUB",$C$17:$C$19,0))),0)</f>
        <v>0</v>
      </c>
      <c r="L135" s="237">
        <f ca="1">IFERROR(IF($D40="RUB",$E40*L40*(1+L$29),$E40*L40*(1+INDEX(L$30:L$35,MATCH("Инфляция "&amp;$D40,$C$30:$C$35,0)+1))*INDEX(Расчет!L$17:L$19,MATCH($D40&amp;"/RUB",$C$17:$C$19,0))),0)</f>
        <v>0</v>
      </c>
      <c r="M135" s="237">
        <f ca="1">IFERROR(IF($D40="RUB",$E40*M40*(1+M$29),$E40*M40*(1+INDEX(M$30:M$35,MATCH("Инфляция "&amp;$D40,$C$30:$C$35,0)+1))*INDEX(Расчет!M$17:M$19,MATCH($D40&amp;"/RUB",$C$17:$C$19,0))),0)</f>
        <v>0</v>
      </c>
      <c r="N135" s="237">
        <f ca="1">IFERROR(IF($D40="RUB",$E40*N40*(1+N$29),$E40*N40*(1+INDEX(N$30:N$35,MATCH("Инфляция "&amp;$D40,$C$30:$C$35,0)+1))*INDEX(Расчет!N$17:N$19,MATCH($D40&amp;"/RUB",$C$17:$C$19,0))),0)</f>
        <v>0</v>
      </c>
      <c r="O135" s="237">
        <f ca="1">IFERROR(IF($D40="RUB",$E40*O40*(1+O$29),$E40*O40*(1+INDEX(O$30:O$35,MATCH("Инфляция "&amp;$D40,$C$30:$C$35,0)+1))*INDEX(Расчет!O$17:O$19,MATCH($D40&amp;"/RUB",$C$17:$C$19,0))),0)</f>
        <v>0</v>
      </c>
      <c r="P135" s="237">
        <f ca="1">IFERROR(IF($D40="RUB",$E40*P40*(1+P$29),$E40*P40*(1+INDEX(P$30:P$35,MATCH("Инфляция "&amp;$D40,$C$30:$C$35,0)+1))*INDEX(Расчет!P$17:P$19,MATCH($D40&amp;"/RUB",$C$17:$C$19,0))),0)</f>
        <v>0</v>
      </c>
      <c r="Q135" s="237">
        <f ca="1">IFERROR(IF($D40="RUB",$E40*Q40*(1+Q$29),$E40*Q40*(1+INDEX(Q$30:Q$35,MATCH("Инфляция "&amp;$D40,$C$30:$C$35,0)+1))*INDEX(Расчет!Q$17:Q$19,MATCH($D40&amp;"/RUB",$C$17:$C$19,0))),0)</f>
        <v>0</v>
      </c>
      <c r="R135" s="237">
        <f ca="1">IFERROR(IF($D40="RUB",$E40*R40*(1+R$29),$E40*R40*(1+INDEX(R$30:R$35,MATCH("Инфляция "&amp;$D40,$C$30:$C$35,0)+1))*INDEX(Расчет!R$17:R$19,MATCH($D40&amp;"/RUB",$C$17:$C$19,0))),0)</f>
        <v>0</v>
      </c>
      <c r="S135" s="237">
        <f ca="1">IFERROR(IF($D40="RUB",$E40*S40*(1+S$29),$E40*S40*(1+INDEX(S$30:S$35,MATCH("Инфляция "&amp;$D40,$C$30:$C$35,0)+1))*INDEX(Расчет!S$17:S$19,MATCH($D40&amp;"/RUB",$C$17:$C$19,0))),0)</f>
        <v>0</v>
      </c>
    </row>
    <row r="136" spans="1:19" s="2" customFormat="1" x14ac:dyDescent="0.25">
      <c r="A136" s="238"/>
      <c r="B136" s="238"/>
      <c r="C136" s="200" t="s">
        <v>18</v>
      </c>
      <c r="D136" s="242" t="s">
        <v>12</v>
      </c>
      <c r="E136" s="237">
        <f t="shared" si="66"/>
        <v>1206627.730883104</v>
      </c>
      <c r="F136" s="243">
        <f t="shared" ref="F136:F166" si="67">F41</f>
        <v>0.05</v>
      </c>
      <c r="G136" s="244"/>
      <c r="H136" s="237">
        <f>IFERROR(IF($D41="RUB",$E41*H41*(1+H$29),$E41*H41*(1+INDEX(H$30:H$35,MATCH("Инфляция "&amp;$D41,$C$30:$C$35,0)+1))*INDEX(Расчет!H$17:H$19,MATCH($D41&amp;"/RUB",$C$17:$C$19,0))),0)</f>
        <v>60063.035421188353</v>
      </c>
      <c r="I136" s="237">
        <f>IFERROR(IF($D41="RUB",$E41*I41*(1+I$29),$E41*I41*(1+INDEX(I$30:I$35,MATCH("Инфляция "&amp;$D41,$C$30:$C$35,0)+1))*INDEX(Расчет!I$17:I$19,MATCH($D41&amp;"/RUB",$C$17:$C$19,0))),0)</f>
        <v>180486.70322227964</v>
      </c>
      <c r="J136" s="237">
        <f>IFERROR(IF($D41="RUB",$E41*J41*(1+J$29),$E41*J41*(1+INDEX(J$30:J$35,MATCH("Инфляция "&amp;$D41,$C$30:$C$35,0)+1))*INDEX(Расчет!J$17:J$19,MATCH($D41&amp;"/RUB",$C$17:$C$19,0))),0)</f>
        <v>261133.58799170755</v>
      </c>
      <c r="K136" s="237">
        <f>IFERROR(IF($D41="RUB",$E41*K41*(1+K$29),$E41*K41*(1+INDEX(K$30:K$35,MATCH("Инфляция "&amp;$D41,$C$30:$C$35,0)+1))*INDEX(Расчет!K$17:K$19,MATCH($D41&amp;"/RUB",$C$17:$C$19,0))),0)</f>
        <v>342046.37021768815</v>
      </c>
      <c r="L136" s="237">
        <f>IFERROR(IF($D41="RUB",$E41*L41*(1+L$29),$E41*L41*(1+INDEX(L$30:L$35,MATCH("Инфляция "&amp;$D41,$C$30:$C$35,0)+1))*INDEX(Расчет!L$17:L$19,MATCH($D41&amp;"/RUB",$C$17:$C$19,0))),0)</f>
        <v>282150.47214704769</v>
      </c>
      <c r="M136" s="237">
        <f>IFERROR(IF($D41="RUB",$E41*M41*(1+M$29),$E41*M41*(1+INDEX(M$30:M$35,MATCH("Инфляция "&amp;$D41,$C$30:$C$35,0)+1))*INDEX(Расчет!M$17:M$19,MATCH($D41&amp;"/RUB",$C$17:$C$19,0))),0)</f>
        <v>80747.561883192524</v>
      </c>
      <c r="N136" s="237">
        <f>IFERROR(IF($D41="RUB",$E41*N41*(1+N$29),$E41*N41*(1+INDEX(N$30:N$35,MATCH("Инфляция "&amp;$D41,$C$30:$C$35,0)+1))*INDEX(Расчет!N$17:N$19,MATCH($D41&amp;"/RUB",$C$17:$C$19,0))),0)</f>
        <v>0</v>
      </c>
      <c r="O136" s="237">
        <f>IFERROR(IF($D41="RUB",$E41*O41*(1+O$29),$E41*O41*(1+INDEX(O$30:O$35,MATCH("Инфляция "&amp;$D41,$C$30:$C$35,0)+1))*INDEX(Расчет!O$17:O$19,MATCH($D41&amp;"/RUB",$C$17:$C$19,0))),0)</f>
        <v>0</v>
      </c>
      <c r="P136" s="237">
        <f>IFERROR(IF($D41="RUB",$E41*P41*(1+P$29),$E41*P41*(1+INDEX(P$30:P$35,MATCH("Инфляция "&amp;$D41,$C$30:$C$35,0)+1))*INDEX(Расчет!P$17:P$19,MATCH($D41&amp;"/RUB",$C$17:$C$19,0))),0)</f>
        <v>0</v>
      </c>
      <c r="Q136" s="237">
        <f>IFERROR(IF($D41="RUB",$E41*Q41*(1+Q$29),$E41*Q41*(1+INDEX(Q$30:Q$35,MATCH("Инфляция "&amp;$D41,$C$30:$C$35,0)+1))*INDEX(Расчет!Q$17:Q$19,MATCH($D41&amp;"/RUB",$C$17:$C$19,0))),0)</f>
        <v>0</v>
      </c>
      <c r="R136" s="237">
        <f>IFERROR(IF($D41="RUB",$E41*R41*(1+R$29),$E41*R41*(1+INDEX(R$30:R$35,MATCH("Инфляция "&amp;$D41,$C$30:$C$35,0)+1))*INDEX(Расчет!R$17:R$19,MATCH($D41&amp;"/RUB",$C$17:$C$19,0))),0)</f>
        <v>0</v>
      </c>
      <c r="S136" s="237">
        <f>IFERROR(IF($D41="RUB",$E41*S41*(1+S$29),$E41*S41*(1+INDEX(S$30:S$35,MATCH("Инфляция "&amp;$D41,$C$30:$C$35,0)+1))*INDEX(Расчет!S$17:S$19,MATCH($D41&amp;"/RUB",$C$17:$C$19,0))),0)</f>
        <v>0</v>
      </c>
    </row>
    <row r="137" spans="1:19" s="2" customFormat="1" x14ac:dyDescent="0.25">
      <c r="A137" s="238"/>
      <c r="B137" s="238"/>
      <c r="C137" s="200" t="s">
        <v>18</v>
      </c>
      <c r="D137" s="242" t="s">
        <v>12</v>
      </c>
      <c r="E137" s="237">
        <f t="shared" si="66"/>
        <v>0</v>
      </c>
      <c r="F137" s="243">
        <f t="shared" si="67"/>
        <v>0</v>
      </c>
      <c r="G137" s="244"/>
      <c r="H137" s="237">
        <f>IFERROR(IF($D42="RUB",$E42*H42*(1+H$29),$E42*H42*(1+INDEX(H$30:H$35,MATCH("Инфляция "&amp;$D42,$C$30:$C$35,0)+1))*INDEX(Расчет!H$17:H$19,MATCH($D42&amp;"/RUB",$C$17:$C$19,0))),0)</f>
        <v>0</v>
      </c>
      <c r="I137" s="237">
        <f>IFERROR(IF($D42="RUB",$E42*I42*(1+I$29),$E42*I42*(1+INDEX(I$30:I$35,MATCH("Инфляция "&amp;$D42,$C$30:$C$35,0)+1))*INDEX(Расчет!I$17:I$19,MATCH($D42&amp;"/RUB",$C$17:$C$19,0))),0)</f>
        <v>0</v>
      </c>
      <c r="J137" s="237">
        <f>IFERROR(IF($D42="RUB",$E42*J42*(1+J$29),$E42*J42*(1+INDEX(J$30:J$35,MATCH("Инфляция "&amp;$D42,$C$30:$C$35,0)+1))*INDEX(Расчет!J$17:J$19,MATCH($D42&amp;"/RUB",$C$17:$C$19,0))),0)</f>
        <v>0</v>
      </c>
      <c r="K137" s="237">
        <f>IFERROR(IF($D42="RUB",$E42*K42*(1+K$29),$E42*K42*(1+INDEX(K$30:K$35,MATCH("Инфляция "&amp;$D42,$C$30:$C$35,0)+1))*INDEX(Расчет!K$17:K$19,MATCH($D42&amp;"/RUB",$C$17:$C$19,0))),0)</f>
        <v>0</v>
      </c>
      <c r="L137" s="237">
        <f>IFERROR(IF($D42="RUB",$E42*L42*(1+L$29),$E42*L42*(1+INDEX(L$30:L$35,MATCH("Инфляция "&amp;$D42,$C$30:$C$35,0)+1))*INDEX(Расчет!L$17:L$19,MATCH($D42&amp;"/RUB",$C$17:$C$19,0))),0)</f>
        <v>0</v>
      </c>
      <c r="M137" s="237">
        <f>IFERROR(IF($D42="RUB",$E42*M42*(1+M$29),$E42*M42*(1+INDEX(M$30:M$35,MATCH("Инфляция "&amp;$D42,$C$30:$C$35,0)+1))*INDEX(Расчет!M$17:M$19,MATCH($D42&amp;"/RUB",$C$17:$C$19,0))),0)</f>
        <v>0</v>
      </c>
      <c r="N137" s="237">
        <f>IFERROR(IF($D42="RUB",$E42*N42*(1+N$29),$E42*N42*(1+INDEX(N$30:N$35,MATCH("Инфляция "&amp;$D42,$C$30:$C$35,0)+1))*INDEX(Расчет!N$17:N$19,MATCH($D42&amp;"/RUB",$C$17:$C$19,0))),0)</f>
        <v>0</v>
      </c>
      <c r="O137" s="237">
        <f>IFERROR(IF($D42="RUB",$E42*O42*(1+O$29),$E42*O42*(1+INDEX(O$30:O$35,MATCH("Инфляция "&amp;$D42,$C$30:$C$35,0)+1))*INDEX(Расчет!O$17:O$19,MATCH($D42&amp;"/RUB",$C$17:$C$19,0))),0)</f>
        <v>0</v>
      </c>
      <c r="P137" s="237">
        <f>IFERROR(IF($D42="RUB",$E42*P42*(1+P$29),$E42*P42*(1+INDEX(P$30:P$35,MATCH("Инфляция "&amp;$D42,$C$30:$C$35,0)+1))*INDEX(Расчет!P$17:P$19,MATCH($D42&amp;"/RUB",$C$17:$C$19,0))),0)</f>
        <v>0</v>
      </c>
      <c r="Q137" s="237">
        <f>IFERROR(IF($D42="RUB",$E42*Q42*(1+Q$29),$E42*Q42*(1+INDEX(Q$30:Q$35,MATCH("Инфляция "&amp;$D42,$C$30:$C$35,0)+1))*INDEX(Расчет!Q$17:Q$19,MATCH($D42&amp;"/RUB",$C$17:$C$19,0))),0)</f>
        <v>0</v>
      </c>
      <c r="R137" s="237">
        <f>IFERROR(IF($D42="RUB",$E42*R42*(1+R$29),$E42*R42*(1+INDEX(R$30:R$35,MATCH("Инфляция "&amp;$D42,$C$30:$C$35,0)+1))*INDEX(Расчет!R$17:R$19,MATCH($D42&amp;"/RUB",$C$17:$C$19,0))),0)</f>
        <v>0</v>
      </c>
      <c r="S137" s="237">
        <f>IFERROR(IF($D42="RUB",$E42*S42*(1+S$29),$E42*S42*(1+INDEX(S$30:S$35,MATCH("Инфляция "&amp;$D42,$C$30:$C$35,0)+1))*INDEX(Расчет!S$17:S$19,MATCH($D42&amp;"/RUB",$C$17:$C$19,0))),0)</f>
        <v>0</v>
      </c>
    </row>
    <row r="138" spans="1:19" s="2" customFormat="1" x14ac:dyDescent="0.25">
      <c r="A138" s="238"/>
      <c r="B138" s="238"/>
      <c r="C138" s="200" t="s">
        <v>18</v>
      </c>
      <c r="D138" s="242" t="s">
        <v>12</v>
      </c>
      <c r="E138" s="237">
        <f t="shared" si="66"/>
        <v>0</v>
      </c>
      <c r="F138" s="243">
        <f t="shared" si="67"/>
        <v>0</v>
      </c>
      <c r="G138" s="244"/>
      <c r="H138" s="237">
        <f>IFERROR(IF($D43="RUB",$E43*H43*(1+H$29),$E43*H43*(1+INDEX(H$30:H$35,MATCH("Инфляция "&amp;$D43,$C$30:$C$35,0)+1))*INDEX(Расчет!H$17:H$19,MATCH($D43&amp;"/RUB",$C$17:$C$19,0))),0)</f>
        <v>0</v>
      </c>
      <c r="I138" s="237">
        <f>IFERROR(IF($D43="RUB",$E43*I43*(1+I$29),$E43*I43*(1+INDEX(I$30:I$35,MATCH("Инфляция "&amp;$D43,$C$30:$C$35,0)+1))*INDEX(Расчет!I$17:I$19,MATCH($D43&amp;"/RUB",$C$17:$C$19,0))),0)</f>
        <v>0</v>
      </c>
      <c r="J138" s="237">
        <f>IFERROR(IF($D43="RUB",$E43*J43*(1+J$29),$E43*J43*(1+INDEX(J$30:J$35,MATCH("Инфляция "&amp;$D43,$C$30:$C$35,0)+1))*INDEX(Расчет!J$17:J$19,MATCH($D43&amp;"/RUB",$C$17:$C$19,0))),0)</f>
        <v>0</v>
      </c>
      <c r="K138" s="237">
        <f>IFERROR(IF($D43="RUB",$E43*K43*(1+K$29),$E43*K43*(1+INDEX(K$30:K$35,MATCH("Инфляция "&amp;$D43,$C$30:$C$35,0)+1))*INDEX(Расчет!K$17:K$19,MATCH($D43&amp;"/RUB",$C$17:$C$19,0))),0)</f>
        <v>0</v>
      </c>
      <c r="L138" s="237">
        <f>IFERROR(IF($D43="RUB",$E43*L43*(1+L$29),$E43*L43*(1+INDEX(L$30:L$35,MATCH("Инфляция "&amp;$D43,$C$30:$C$35,0)+1))*INDEX(Расчет!L$17:L$19,MATCH($D43&amp;"/RUB",$C$17:$C$19,0))),0)</f>
        <v>0</v>
      </c>
      <c r="M138" s="237">
        <f>IFERROR(IF($D43="RUB",$E43*M43*(1+M$29),$E43*M43*(1+INDEX(M$30:M$35,MATCH("Инфляция "&amp;$D43,$C$30:$C$35,0)+1))*INDEX(Расчет!M$17:M$19,MATCH($D43&amp;"/RUB",$C$17:$C$19,0))),0)</f>
        <v>0</v>
      </c>
      <c r="N138" s="237">
        <f>IFERROR(IF($D43="RUB",$E43*N43*(1+N$29),$E43*N43*(1+INDEX(N$30:N$35,MATCH("Инфляция "&amp;$D43,$C$30:$C$35,0)+1))*INDEX(Расчет!N$17:N$19,MATCH($D43&amp;"/RUB",$C$17:$C$19,0))),0)</f>
        <v>0</v>
      </c>
      <c r="O138" s="237">
        <f>IFERROR(IF($D43="RUB",$E43*O43*(1+O$29),$E43*O43*(1+INDEX(O$30:O$35,MATCH("Инфляция "&amp;$D43,$C$30:$C$35,0)+1))*INDEX(Расчет!O$17:O$19,MATCH($D43&amp;"/RUB",$C$17:$C$19,0))),0)</f>
        <v>0</v>
      </c>
      <c r="P138" s="237">
        <f>IFERROR(IF($D43="RUB",$E43*P43*(1+P$29),$E43*P43*(1+INDEX(P$30:P$35,MATCH("Инфляция "&amp;$D43,$C$30:$C$35,0)+1))*INDEX(Расчет!P$17:P$19,MATCH($D43&amp;"/RUB",$C$17:$C$19,0))),0)</f>
        <v>0</v>
      </c>
      <c r="Q138" s="237">
        <f>IFERROR(IF($D43="RUB",$E43*Q43*(1+Q$29),$E43*Q43*(1+INDEX(Q$30:Q$35,MATCH("Инфляция "&amp;$D43,$C$30:$C$35,0)+1))*INDEX(Расчет!Q$17:Q$19,MATCH($D43&amp;"/RUB",$C$17:$C$19,0))),0)</f>
        <v>0</v>
      </c>
      <c r="R138" s="237">
        <f>IFERROR(IF($D43="RUB",$E43*R43*(1+R$29),$E43*R43*(1+INDEX(R$30:R$35,MATCH("Инфляция "&amp;$D43,$C$30:$C$35,0)+1))*INDEX(Расчет!R$17:R$19,MATCH($D43&amp;"/RUB",$C$17:$C$19,0))),0)</f>
        <v>0</v>
      </c>
      <c r="S138" s="237">
        <f>IFERROR(IF($D43="RUB",$E43*S43*(1+S$29),$E43*S43*(1+INDEX(S$30:S$35,MATCH("Инфляция "&amp;$D43,$C$30:$C$35,0)+1))*INDEX(Расчет!S$17:S$19,MATCH($D43&amp;"/RUB",$C$17:$C$19,0))),0)</f>
        <v>0</v>
      </c>
    </row>
    <row r="139" spans="1:19" s="2" customFormat="1" x14ac:dyDescent="0.25">
      <c r="A139" s="238"/>
      <c r="B139" s="238"/>
      <c r="C139" s="200" t="s">
        <v>140</v>
      </c>
      <c r="D139" s="242" t="s">
        <v>12</v>
      </c>
      <c r="E139" s="237">
        <f t="shared" ca="1" si="66"/>
        <v>10208811.434158018</v>
      </c>
      <c r="F139" s="243">
        <f t="shared" si="67"/>
        <v>0</v>
      </c>
      <c r="G139" s="245"/>
      <c r="H139" s="237">
        <f ca="1">IFERROR(IF($D44="RUB",$E44*H44*(1+H$29),$E44*H44*(1+INDEX(H$30:H$35,MATCH("Инфляция "&amp;$D44,$C$30:$C$35,0)+1))*INDEX(Расчет!H$17:H$19,MATCH($D44&amp;"/RUB",$C$17:$C$19,0))),0)</f>
        <v>1256965.3278315889</v>
      </c>
      <c r="I139" s="237">
        <f ca="1">IFERROR(IF($D44="RUB",$E44*I44*(1+I$29),$E44*I44*(1+INDEX(I$30:I$35,MATCH("Инфляция "&amp;$D44,$C$30:$C$35,0)+1))*INDEX(Расчет!I$17:I$19,MATCH($D44&amp;"/RUB",$C$17:$C$19,0))),0)</f>
        <v>1263969.4682966191</v>
      </c>
      <c r="J139" s="237">
        <f ca="1">IFERROR(IF($D44="RUB",$E44*J44*(1+J$29),$E44*J44*(1+INDEX(J$30:J$35,MATCH("Инфляция "&amp;$D44,$C$30:$C$35,0)+1))*INDEX(Расчет!J$17:J$19,MATCH($D44&amp;"/RUB",$C$17:$C$19,0))),0)</f>
        <v>2965696.1545616142</v>
      </c>
      <c r="K139" s="237">
        <f ca="1">IFERROR(IF($D44="RUB",$E44*K44*(1+K$29),$E44*K44*(1+INDEX(K$30:K$35,MATCH("Инфляция "&amp;$D44,$C$30:$C$35,0)+1))*INDEX(Расчет!K$17:K$19,MATCH($D44&amp;"/RUB",$C$17:$C$19,0))),0)</f>
        <v>1278095.0534288303</v>
      </c>
      <c r="L139" s="237">
        <f ca="1">IFERROR(IF($D44="RUB",$E44*L44*(1+L$29),$E44*L44*(1+INDEX(L$30:L$35,MATCH("Инфляция "&amp;$D44,$C$30:$C$35,0)+1))*INDEX(Расчет!L$17:L$19,MATCH($D44&amp;"/RUB",$C$17:$C$19,0))),0)</f>
        <v>1713622.5790219756</v>
      </c>
      <c r="M139" s="237">
        <f ca="1">IFERROR(IF($D44="RUB",$E44*M44*(1+M$29),$E44*M44*(1+INDEX(M$30:M$35,MATCH("Инфляция "&amp;$D44,$C$30:$C$35,0)+1))*INDEX(Расчет!M$17:M$19,MATCH($D44&amp;"/RUB",$C$17:$C$19,0))),0)</f>
        <v>0</v>
      </c>
      <c r="N139" s="237">
        <f ca="1">IFERROR(IF($D44="RUB",$E44*N44*(1+N$29),$E44*N44*(1+INDEX(N$30:N$35,MATCH("Инфляция "&amp;$D44,$C$30:$C$35,0)+1))*INDEX(Расчет!N$17:N$19,MATCH($D44&amp;"/RUB",$C$17:$C$19,0))),0)</f>
        <v>1730462.8510173897</v>
      </c>
      <c r="O139" s="237">
        <f ca="1">IFERROR(IF($D44="RUB",$E44*O44*(1+O$29),$E44*O44*(1+INDEX(O$30:O$35,MATCH("Инфляция "&amp;$D44,$C$30:$C$35,0)+1))*INDEX(Расчет!O$17:O$19,MATCH($D44&amp;"/RUB",$C$17:$C$19,0))),0)</f>
        <v>0</v>
      </c>
      <c r="P139" s="237">
        <f ca="1">IFERROR(IF($D44="RUB",$E44*P44*(1+P$29),$E44*P44*(1+INDEX(P$30:P$35,MATCH("Инфляция "&amp;$D44,$C$30:$C$35,0)+1))*INDEX(Расчет!P$17:P$19,MATCH($D44&amp;"/RUB",$C$17:$C$19,0))),0)</f>
        <v>0</v>
      </c>
      <c r="Q139" s="237">
        <f ca="1">IFERROR(IF($D44="RUB",$E44*Q44*(1+Q$29),$E44*Q44*(1+INDEX(Q$30:Q$35,MATCH("Инфляция "&amp;$D44,$C$30:$C$35,0)+1))*INDEX(Расчет!Q$17:Q$19,MATCH($D44&amp;"/RUB",$C$17:$C$19,0))),0)</f>
        <v>0</v>
      </c>
      <c r="R139" s="237">
        <f ca="1">IFERROR(IF($D44="RUB",$E44*R44*(1+R$29),$E44*R44*(1+INDEX(R$30:R$35,MATCH("Инфляция "&amp;$D44,$C$30:$C$35,0)+1))*INDEX(Расчет!R$17:R$19,MATCH($D44&amp;"/RUB",$C$17:$C$19,0))),0)</f>
        <v>0</v>
      </c>
      <c r="S139" s="237">
        <f ca="1">IFERROR(IF($D44="RUB",$E44*S44*(1+S$29),$E44*S44*(1+INDEX(S$30:S$35,MATCH("Инфляция "&amp;$D44,$C$30:$C$35,0)+1))*INDEX(Расчет!S$17:S$19,MATCH($D44&amp;"/RUB",$C$17:$C$19,0))),0)</f>
        <v>0</v>
      </c>
    </row>
    <row r="140" spans="1:19" s="2" customFormat="1" x14ac:dyDescent="0.25">
      <c r="A140" s="238"/>
      <c r="B140" s="238"/>
      <c r="C140" s="200" t="s">
        <v>140</v>
      </c>
      <c r="D140" s="242" t="s">
        <v>12</v>
      </c>
      <c r="E140" s="237">
        <f t="shared" si="66"/>
        <v>0</v>
      </c>
      <c r="F140" s="243">
        <f t="shared" si="67"/>
        <v>0</v>
      </c>
      <c r="G140" s="245"/>
      <c r="H140" s="237">
        <f>IFERROR(IF($D45="RUB",$E45*H45*(1+H$29),$E45*H45*(1+INDEX(H$30:H$35,MATCH("Инфляция "&amp;$D45,$C$30:$C$35,0)+1))*INDEX(Расчет!H$17:H$19,MATCH($D45&amp;"/RUB",$C$17:$C$19,0))),0)</f>
        <v>0</v>
      </c>
      <c r="I140" s="237">
        <f>IFERROR(IF($D45="RUB",$E45*I45*(1+I$29),$E45*I45*(1+INDEX(I$30:I$35,MATCH("Инфляция "&amp;$D45,$C$30:$C$35,0)+1))*INDEX(Расчет!I$17:I$19,MATCH($D45&amp;"/RUB",$C$17:$C$19,0))),0)</f>
        <v>0</v>
      </c>
      <c r="J140" s="237">
        <f>IFERROR(IF($D45="RUB",$E45*J45*(1+J$29),$E45*J45*(1+INDEX(J$30:J$35,MATCH("Инфляция "&amp;$D45,$C$30:$C$35,0)+1))*INDEX(Расчет!J$17:J$19,MATCH($D45&amp;"/RUB",$C$17:$C$19,0))),0)</f>
        <v>0</v>
      </c>
      <c r="K140" s="237">
        <f>IFERROR(IF($D45="RUB",$E45*K45*(1+K$29),$E45*K45*(1+INDEX(K$30:K$35,MATCH("Инфляция "&amp;$D45,$C$30:$C$35,0)+1))*INDEX(Расчет!K$17:K$19,MATCH($D45&amp;"/RUB",$C$17:$C$19,0))),0)</f>
        <v>0</v>
      </c>
      <c r="L140" s="237">
        <f>IFERROR(IF($D45="RUB",$E45*L45*(1+L$29),$E45*L45*(1+INDEX(L$30:L$35,MATCH("Инфляция "&amp;$D45,$C$30:$C$35,0)+1))*INDEX(Расчет!L$17:L$19,MATCH($D45&amp;"/RUB",$C$17:$C$19,0))),0)</f>
        <v>0</v>
      </c>
      <c r="M140" s="237">
        <f>IFERROR(IF($D45="RUB",$E45*M45*(1+M$29),$E45*M45*(1+INDEX(M$30:M$35,MATCH("Инфляция "&amp;$D45,$C$30:$C$35,0)+1))*INDEX(Расчет!M$17:M$19,MATCH($D45&amp;"/RUB",$C$17:$C$19,0))),0)</f>
        <v>0</v>
      </c>
      <c r="N140" s="237">
        <f>IFERROR(IF($D45="RUB",$E45*N45*(1+N$29),$E45*N45*(1+INDEX(N$30:N$35,MATCH("Инфляция "&amp;$D45,$C$30:$C$35,0)+1))*INDEX(Расчет!N$17:N$19,MATCH($D45&amp;"/RUB",$C$17:$C$19,0))),0)</f>
        <v>0</v>
      </c>
      <c r="O140" s="237">
        <f>IFERROR(IF($D45="RUB",$E45*O45*(1+O$29),$E45*O45*(1+INDEX(O$30:O$35,MATCH("Инфляция "&amp;$D45,$C$30:$C$35,0)+1))*INDEX(Расчет!O$17:O$19,MATCH($D45&amp;"/RUB",$C$17:$C$19,0))),0)</f>
        <v>0</v>
      </c>
      <c r="P140" s="237">
        <f>IFERROR(IF($D45="RUB",$E45*P45*(1+P$29),$E45*P45*(1+INDEX(P$30:P$35,MATCH("Инфляция "&amp;$D45,$C$30:$C$35,0)+1))*INDEX(Расчет!P$17:P$19,MATCH($D45&amp;"/RUB",$C$17:$C$19,0))),0)</f>
        <v>0</v>
      </c>
      <c r="Q140" s="237">
        <f>IFERROR(IF($D45="RUB",$E45*Q45*(1+Q$29),$E45*Q45*(1+INDEX(Q$30:Q$35,MATCH("Инфляция "&amp;$D45,$C$30:$C$35,0)+1))*INDEX(Расчет!Q$17:Q$19,MATCH($D45&amp;"/RUB",$C$17:$C$19,0))),0)</f>
        <v>0</v>
      </c>
      <c r="R140" s="237">
        <f>IFERROR(IF($D45="RUB",$E45*R45*(1+R$29),$E45*R45*(1+INDEX(R$30:R$35,MATCH("Инфляция "&amp;$D45,$C$30:$C$35,0)+1))*INDEX(Расчет!R$17:R$19,MATCH($D45&amp;"/RUB",$C$17:$C$19,0))),0)</f>
        <v>0</v>
      </c>
      <c r="S140" s="237">
        <f>IFERROR(IF($D45="RUB",$E45*S45*(1+S$29),$E45*S45*(1+INDEX(S$30:S$35,MATCH("Инфляция "&amp;$D45,$C$30:$C$35,0)+1))*INDEX(Расчет!S$17:S$19,MATCH($D45&amp;"/RUB",$C$17:$C$19,0))),0)</f>
        <v>0</v>
      </c>
    </row>
    <row r="141" spans="1:19" s="2" customFormat="1" x14ac:dyDescent="0.25">
      <c r="A141" s="238"/>
      <c r="B141" s="238"/>
      <c r="C141" s="200" t="s">
        <v>140</v>
      </c>
      <c r="D141" s="242" t="s">
        <v>12</v>
      </c>
      <c r="E141" s="237">
        <f t="shared" si="66"/>
        <v>0</v>
      </c>
      <c r="F141" s="243">
        <f t="shared" si="67"/>
        <v>0</v>
      </c>
      <c r="G141" s="245"/>
      <c r="H141" s="237">
        <f>IFERROR(IF($D46="RUB",$E46*H46*(1+H$29),$E46*H46*(1+INDEX(H$30:H$35,MATCH("Инфляция "&amp;$D46,$C$30:$C$35,0)+1))*INDEX(Расчет!H$17:H$19,MATCH($D46&amp;"/RUB",$C$17:$C$19,0))),0)</f>
        <v>0</v>
      </c>
      <c r="I141" s="237">
        <f>IFERROR(IF($D46="RUB",$E46*I46*(1+I$29),$E46*I46*(1+INDEX(I$30:I$35,MATCH("Инфляция "&amp;$D46,$C$30:$C$35,0)+1))*INDEX(Расчет!I$17:I$19,MATCH($D46&amp;"/RUB",$C$17:$C$19,0))),0)</f>
        <v>0</v>
      </c>
      <c r="J141" s="237">
        <f>IFERROR(IF($D46="RUB",$E46*J46*(1+J$29),$E46*J46*(1+INDEX(J$30:J$35,MATCH("Инфляция "&amp;$D46,$C$30:$C$35,0)+1))*INDEX(Расчет!J$17:J$19,MATCH($D46&amp;"/RUB",$C$17:$C$19,0))),0)</f>
        <v>0</v>
      </c>
      <c r="K141" s="237">
        <f>IFERROR(IF($D46="RUB",$E46*K46*(1+K$29),$E46*K46*(1+INDEX(K$30:K$35,MATCH("Инфляция "&amp;$D46,$C$30:$C$35,0)+1))*INDEX(Расчет!K$17:K$19,MATCH($D46&amp;"/RUB",$C$17:$C$19,0))),0)</f>
        <v>0</v>
      </c>
      <c r="L141" s="237">
        <f>IFERROR(IF($D46="RUB",$E46*L46*(1+L$29),$E46*L46*(1+INDEX(L$30:L$35,MATCH("Инфляция "&amp;$D46,$C$30:$C$35,0)+1))*INDEX(Расчет!L$17:L$19,MATCH($D46&amp;"/RUB",$C$17:$C$19,0))),0)</f>
        <v>0</v>
      </c>
      <c r="M141" s="237">
        <f>IFERROR(IF($D46="RUB",$E46*M46*(1+M$29),$E46*M46*(1+INDEX(M$30:M$35,MATCH("Инфляция "&amp;$D46,$C$30:$C$35,0)+1))*INDEX(Расчет!M$17:M$19,MATCH($D46&amp;"/RUB",$C$17:$C$19,0))),0)</f>
        <v>0</v>
      </c>
      <c r="N141" s="237">
        <f>IFERROR(IF($D46="RUB",$E46*N46*(1+N$29),$E46*N46*(1+INDEX(N$30:N$35,MATCH("Инфляция "&amp;$D46,$C$30:$C$35,0)+1))*INDEX(Расчет!N$17:N$19,MATCH($D46&amp;"/RUB",$C$17:$C$19,0))),0)</f>
        <v>0</v>
      </c>
      <c r="O141" s="237">
        <f>IFERROR(IF($D46="RUB",$E46*O46*(1+O$29),$E46*O46*(1+INDEX(O$30:O$35,MATCH("Инфляция "&amp;$D46,$C$30:$C$35,0)+1))*INDEX(Расчет!O$17:O$19,MATCH($D46&amp;"/RUB",$C$17:$C$19,0))),0)</f>
        <v>0</v>
      </c>
      <c r="P141" s="237">
        <f>IFERROR(IF($D46="RUB",$E46*P46*(1+P$29),$E46*P46*(1+INDEX(P$30:P$35,MATCH("Инфляция "&amp;$D46,$C$30:$C$35,0)+1))*INDEX(Расчет!P$17:P$19,MATCH($D46&amp;"/RUB",$C$17:$C$19,0))),0)</f>
        <v>0</v>
      </c>
      <c r="Q141" s="237">
        <f>IFERROR(IF($D46="RUB",$E46*Q46*(1+Q$29),$E46*Q46*(1+INDEX(Q$30:Q$35,MATCH("Инфляция "&amp;$D46,$C$30:$C$35,0)+1))*INDEX(Расчет!Q$17:Q$19,MATCH($D46&amp;"/RUB",$C$17:$C$19,0))),0)</f>
        <v>0</v>
      </c>
      <c r="R141" s="237">
        <f>IFERROR(IF($D46="RUB",$E46*R46*(1+R$29),$E46*R46*(1+INDEX(R$30:R$35,MATCH("Инфляция "&amp;$D46,$C$30:$C$35,0)+1))*INDEX(Расчет!R$17:R$19,MATCH($D46&amp;"/RUB",$C$17:$C$19,0))),0)</f>
        <v>0</v>
      </c>
      <c r="S141" s="237">
        <f>IFERROR(IF($D46="RUB",$E46*S46*(1+S$29),$E46*S46*(1+INDEX(S$30:S$35,MATCH("Инфляция "&amp;$D46,$C$30:$C$35,0)+1))*INDEX(Расчет!S$17:S$19,MATCH($D46&amp;"/RUB",$C$17:$C$19,0))),0)</f>
        <v>0</v>
      </c>
    </row>
    <row r="142" spans="1:19" s="2" customFormat="1" x14ac:dyDescent="0.25">
      <c r="A142" s="238"/>
      <c r="B142" s="238"/>
      <c r="C142" s="200" t="s">
        <v>140</v>
      </c>
      <c r="D142" s="242" t="s">
        <v>12</v>
      </c>
      <c r="E142" s="237">
        <f t="shared" si="66"/>
        <v>0</v>
      </c>
      <c r="F142" s="243">
        <f t="shared" si="67"/>
        <v>0</v>
      </c>
      <c r="G142" s="245"/>
      <c r="H142" s="237">
        <f>IFERROR(IF($D47="RUB",$E47*H47*(1+H$29),$E47*H47*(1+INDEX(H$30:H$35,MATCH("Инфляция "&amp;$D47,$C$30:$C$35,0)+1))*INDEX(Расчет!H$17:H$19,MATCH($D47&amp;"/RUB",$C$17:$C$19,0))),0)</f>
        <v>0</v>
      </c>
      <c r="I142" s="237">
        <f>IFERROR(IF($D47="RUB",$E47*I47*(1+I$29),$E47*I47*(1+INDEX(I$30:I$35,MATCH("Инфляция "&amp;$D47,$C$30:$C$35,0)+1))*INDEX(Расчет!I$17:I$19,MATCH($D47&amp;"/RUB",$C$17:$C$19,0))),0)</f>
        <v>0</v>
      </c>
      <c r="J142" s="237">
        <f>IFERROR(IF($D47="RUB",$E47*J47*(1+J$29),$E47*J47*(1+INDEX(J$30:J$35,MATCH("Инфляция "&amp;$D47,$C$30:$C$35,0)+1))*INDEX(Расчет!J$17:J$19,MATCH($D47&amp;"/RUB",$C$17:$C$19,0))),0)</f>
        <v>0</v>
      </c>
      <c r="K142" s="237">
        <f>IFERROR(IF($D47="RUB",$E47*K47*(1+K$29),$E47*K47*(1+INDEX(K$30:K$35,MATCH("Инфляция "&amp;$D47,$C$30:$C$35,0)+1))*INDEX(Расчет!K$17:K$19,MATCH($D47&amp;"/RUB",$C$17:$C$19,0))),0)</f>
        <v>0</v>
      </c>
      <c r="L142" s="237">
        <f>IFERROR(IF($D47="RUB",$E47*L47*(1+L$29),$E47*L47*(1+INDEX(L$30:L$35,MATCH("Инфляция "&amp;$D47,$C$30:$C$35,0)+1))*INDEX(Расчет!L$17:L$19,MATCH($D47&amp;"/RUB",$C$17:$C$19,0))),0)</f>
        <v>0</v>
      </c>
      <c r="M142" s="237">
        <f>IFERROR(IF($D47="RUB",$E47*M47*(1+M$29),$E47*M47*(1+INDEX(M$30:M$35,MATCH("Инфляция "&amp;$D47,$C$30:$C$35,0)+1))*INDEX(Расчет!M$17:M$19,MATCH($D47&amp;"/RUB",$C$17:$C$19,0))),0)</f>
        <v>0</v>
      </c>
      <c r="N142" s="237">
        <f>IFERROR(IF($D47="RUB",$E47*N47*(1+N$29),$E47*N47*(1+INDEX(N$30:N$35,MATCH("Инфляция "&amp;$D47,$C$30:$C$35,0)+1))*INDEX(Расчет!N$17:N$19,MATCH($D47&amp;"/RUB",$C$17:$C$19,0))),0)</f>
        <v>0</v>
      </c>
      <c r="O142" s="237">
        <f>IFERROR(IF($D47="RUB",$E47*O47*(1+O$29),$E47*O47*(1+INDEX(O$30:O$35,MATCH("Инфляция "&amp;$D47,$C$30:$C$35,0)+1))*INDEX(Расчет!O$17:O$19,MATCH($D47&amp;"/RUB",$C$17:$C$19,0))),0)</f>
        <v>0</v>
      </c>
      <c r="P142" s="237">
        <f>IFERROR(IF($D47="RUB",$E47*P47*(1+P$29),$E47*P47*(1+INDEX(P$30:P$35,MATCH("Инфляция "&amp;$D47,$C$30:$C$35,0)+1))*INDEX(Расчет!P$17:P$19,MATCH($D47&amp;"/RUB",$C$17:$C$19,0))),0)</f>
        <v>0</v>
      </c>
      <c r="Q142" s="237">
        <f>IFERROR(IF($D47="RUB",$E47*Q47*(1+Q$29),$E47*Q47*(1+INDEX(Q$30:Q$35,MATCH("Инфляция "&amp;$D47,$C$30:$C$35,0)+1))*INDEX(Расчет!Q$17:Q$19,MATCH($D47&amp;"/RUB",$C$17:$C$19,0))),0)</f>
        <v>0</v>
      </c>
      <c r="R142" s="237">
        <f>IFERROR(IF($D47="RUB",$E47*R47*(1+R$29),$E47*R47*(1+INDEX(R$30:R$35,MATCH("Инфляция "&amp;$D47,$C$30:$C$35,0)+1))*INDEX(Расчет!R$17:R$19,MATCH($D47&amp;"/RUB",$C$17:$C$19,0))),0)</f>
        <v>0</v>
      </c>
      <c r="S142" s="237">
        <f>IFERROR(IF($D47="RUB",$E47*S47*(1+S$29),$E47*S47*(1+INDEX(S$30:S$35,MATCH("Инфляция "&amp;$D47,$C$30:$C$35,0)+1))*INDEX(Расчет!S$17:S$19,MATCH($D47&amp;"/RUB",$C$17:$C$19,0))),0)</f>
        <v>0</v>
      </c>
    </row>
    <row r="143" spans="1:19" s="2" customFormat="1" x14ac:dyDescent="0.25">
      <c r="A143" s="238"/>
      <c r="B143" s="238"/>
      <c r="C143" s="200" t="s">
        <v>42</v>
      </c>
      <c r="D143" s="242" t="s">
        <v>12</v>
      </c>
      <c r="E143" s="237">
        <f t="shared" ca="1" si="66"/>
        <v>507004.24872263015</v>
      </c>
      <c r="F143" s="243">
        <f t="shared" si="67"/>
        <v>0</v>
      </c>
      <c r="G143" s="245"/>
      <c r="H143" s="237">
        <f ca="1">IFERROR(IF($D48="RUB",$E48*H48*(1+H$29),$E48*H48*(1+INDEX(H$30:H$35,MATCH("Инфляция "&amp;$D48,$C$30:$C$35,0)+1))*INDEX(Расчет!H$17:H$19,MATCH($D48&amp;"/RUB",$C$17:$C$19,0))),0)</f>
        <v>125696.53278315889</v>
      </c>
      <c r="I143" s="237">
        <f ca="1">IFERROR(IF($D48="RUB",$E48*I48*(1+I$29),$E48*I48*(1+INDEX(I$30:I$35,MATCH("Инфляция "&amp;$D48,$C$30:$C$35,0)+1))*INDEX(Расчет!I$17:I$19,MATCH($D48&amp;"/RUB",$C$17:$C$19,0))),0)</f>
        <v>126396.9468296619</v>
      </c>
      <c r="J143" s="237">
        <f ca="1">IFERROR(IF($D48="RUB",$E48*J48*(1+J$29),$E48*J48*(1+INDEX(J$30:J$35,MATCH("Инфляция "&amp;$D48,$C$30:$C$35,0)+1))*INDEX(Расчет!J$17:J$19,MATCH($D48&amp;"/RUB",$C$17:$C$19,0))),0)</f>
        <v>127101.26376692632</v>
      </c>
      <c r="K143" s="237">
        <f ca="1">IFERROR(IF($D48="RUB",$E48*K48*(1+K$29),$E48*K48*(1+INDEX(K$30:K$35,MATCH("Инфляция "&amp;$D48,$C$30:$C$35,0)+1))*INDEX(Расчет!K$17:K$19,MATCH($D48&amp;"/RUB",$C$17:$C$19,0))),0)</f>
        <v>127809.50534288304</v>
      </c>
      <c r="L143" s="237">
        <f ca="1">IFERROR(IF($D48="RUB",$E48*L48*(1+L$29),$E48*L48*(1+INDEX(L$30:L$35,MATCH("Инфляция "&amp;$D48,$C$30:$C$35,0)+1))*INDEX(Расчет!L$17:L$19,MATCH($D48&amp;"/RUB",$C$17:$C$19,0))),0)</f>
        <v>0</v>
      </c>
      <c r="M143" s="237">
        <f ca="1">IFERROR(IF($D48="RUB",$E48*M48*(1+M$29),$E48*M48*(1+INDEX(M$30:M$35,MATCH("Инфляция "&amp;$D48,$C$30:$C$35,0)+1))*INDEX(Расчет!M$17:M$19,MATCH($D48&amp;"/RUB",$C$17:$C$19,0))),0)</f>
        <v>0</v>
      </c>
      <c r="N143" s="237">
        <f ca="1">IFERROR(IF($D48="RUB",$E48*N48*(1+N$29),$E48*N48*(1+INDEX(N$30:N$35,MATCH("Инфляция "&amp;$D48,$C$30:$C$35,0)+1))*INDEX(Расчет!N$17:N$19,MATCH($D48&amp;"/RUB",$C$17:$C$19,0))),0)</f>
        <v>0</v>
      </c>
      <c r="O143" s="237">
        <f ca="1">IFERROR(IF($D48="RUB",$E48*O48*(1+O$29),$E48*O48*(1+INDEX(O$30:O$35,MATCH("Инфляция "&amp;$D48,$C$30:$C$35,0)+1))*INDEX(Расчет!O$17:O$19,MATCH($D48&amp;"/RUB",$C$17:$C$19,0))),0)</f>
        <v>0</v>
      </c>
      <c r="P143" s="237">
        <f ca="1">IFERROR(IF($D48="RUB",$E48*P48*(1+P$29),$E48*P48*(1+INDEX(P$30:P$35,MATCH("Инфляция "&amp;$D48,$C$30:$C$35,0)+1))*INDEX(Расчет!P$17:P$19,MATCH($D48&amp;"/RUB",$C$17:$C$19,0))),0)</f>
        <v>0</v>
      </c>
      <c r="Q143" s="237">
        <f ca="1">IFERROR(IF($D48="RUB",$E48*Q48*(1+Q$29),$E48*Q48*(1+INDEX(Q$30:Q$35,MATCH("Инфляция "&amp;$D48,$C$30:$C$35,0)+1))*INDEX(Расчет!Q$17:Q$19,MATCH($D48&amp;"/RUB",$C$17:$C$19,0))),0)</f>
        <v>0</v>
      </c>
      <c r="R143" s="237">
        <f ca="1">IFERROR(IF($D48="RUB",$E48*R48*(1+R$29),$E48*R48*(1+INDEX(R$30:R$35,MATCH("Инфляция "&amp;$D48,$C$30:$C$35,0)+1))*INDEX(Расчет!R$17:R$19,MATCH($D48&amp;"/RUB",$C$17:$C$19,0))),0)</f>
        <v>0</v>
      </c>
      <c r="S143" s="237">
        <f ca="1">IFERROR(IF($D48="RUB",$E48*S48*(1+S$29),$E48*S48*(1+INDEX(S$30:S$35,MATCH("Инфляция "&amp;$D48,$C$30:$C$35,0)+1))*INDEX(Расчет!S$17:S$19,MATCH($D48&amp;"/RUB",$C$17:$C$19,0))),0)</f>
        <v>0</v>
      </c>
    </row>
    <row r="144" spans="1:19" s="2" customFormat="1" x14ac:dyDescent="0.25">
      <c r="A144" s="238"/>
      <c r="B144" s="238"/>
      <c r="C144" s="200" t="s">
        <v>42</v>
      </c>
      <c r="D144" s="242" t="s">
        <v>12</v>
      </c>
      <c r="E144" s="237">
        <f t="shared" si="66"/>
        <v>0</v>
      </c>
      <c r="F144" s="243">
        <f t="shared" si="67"/>
        <v>0</v>
      </c>
      <c r="G144" s="245"/>
      <c r="H144" s="237">
        <f>IFERROR(IF($D49="RUB",$E49*H49*(1+H$29),$E49*H49*(1+INDEX(H$30:H$35,MATCH("Инфляция "&amp;$D49,$C$30:$C$35,0)+1))*INDEX(Расчет!H$17:H$19,MATCH($D49&amp;"/RUB",$C$17:$C$19,0))),0)</f>
        <v>0</v>
      </c>
      <c r="I144" s="237">
        <f>IFERROR(IF($D49="RUB",$E49*I49*(1+I$29),$E49*I49*(1+INDEX(I$30:I$35,MATCH("Инфляция "&amp;$D49,$C$30:$C$35,0)+1))*INDEX(Расчет!I$17:I$19,MATCH($D49&amp;"/RUB",$C$17:$C$19,0))),0)</f>
        <v>0</v>
      </c>
      <c r="J144" s="237">
        <f>IFERROR(IF($D49="RUB",$E49*J49*(1+J$29),$E49*J49*(1+INDEX(J$30:J$35,MATCH("Инфляция "&amp;$D49,$C$30:$C$35,0)+1))*INDEX(Расчет!J$17:J$19,MATCH($D49&amp;"/RUB",$C$17:$C$19,0))),0)</f>
        <v>0</v>
      </c>
      <c r="K144" s="237">
        <f>IFERROR(IF($D49="RUB",$E49*K49*(1+K$29),$E49*K49*(1+INDEX(K$30:K$35,MATCH("Инфляция "&amp;$D49,$C$30:$C$35,0)+1))*INDEX(Расчет!K$17:K$19,MATCH($D49&amp;"/RUB",$C$17:$C$19,0))),0)</f>
        <v>0</v>
      </c>
      <c r="L144" s="237">
        <f>IFERROR(IF($D49="RUB",$E49*L49*(1+L$29),$E49*L49*(1+INDEX(L$30:L$35,MATCH("Инфляция "&amp;$D49,$C$30:$C$35,0)+1))*INDEX(Расчет!L$17:L$19,MATCH($D49&amp;"/RUB",$C$17:$C$19,0))),0)</f>
        <v>0</v>
      </c>
      <c r="M144" s="237">
        <f>IFERROR(IF($D49="RUB",$E49*M49*(1+M$29),$E49*M49*(1+INDEX(M$30:M$35,MATCH("Инфляция "&amp;$D49,$C$30:$C$35,0)+1))*INDEX(Расчет!M$17:M$19,MATCH($D49&amp;"/RUB",$C$17:$C$19,0))),0)</f>
        <v>0</v>
      </c>
      <c r="N144" s="237">
        <f>IFERROR(IF($D49="RUB",$E49*N49*(1+N$29),$E49*N49*(1+INDEX(N$30:N$35,MATCH("Инфляция "&amp;$D49,$C$30:$C$35,0)+1))*INDEX(Расчет!N$17:N$19,MATCH($D49&amp;"/RUB",$C$17:$C$19,0))),0)</f>
        <v>0</v>
      </c>
      <c r="O144" s="237">
        <f>IFERROR(IF($D49="RUB",$E49*O49*(1+O$29),$E49*O49*(1+INDEX(O$30:O$35,MATCH("Инфляция "&amp;$D49,$C$30:$C$35,0)+1))*INDEX(Расчет!O$17:O$19,MATCH($D49&amp;"/RUB",$C$17:$C$19,0))),0)</f>
        <v>0</v>
      </c>
      <c r="P144" s="237">
        <f>IFERROR(IF($D49="RUB",$E49*P49*(1+P$29),$E49*P49*(1+INDEX(P$30:P$35,MATCH("Инфляция "&amp;$D49,$C$30:$C$35,0)+1))*INDEX(Расчет!P$17:P$19,MATCH($D49&amp;"/RUB",$C$17:$C$19,0))),0)</f>
        <v>0</v>
      </c>
      <c r="Q144" s="237">
        <f>IFERROR(IF($D49="RUB",$E49*Q49*(1+Q$29),$E49*Q49*(1+INDEX(Q$30:Q$35,MATCH("Инфляция "&amp;$D49,$C$30:$C$35,0)+1))*INDEX(Расчет!Q$17:Q$19,MATCH($D49&amp;"/RUB",$C$17:$C$19,0))),0)</f>
        <v>0</v>
      </c>
      <c r="R144" s="237">
        <f>IFERROR(IF($D49="RUB",$E49*R49*(1+R$29),$E49*R49*(1+INDEX(R$30:R$35,MATCH("Инфляция "&amp;$D49,$C$30:$C$35,0)+1))*INDEX(Расчет!R$17:R$19,MATCH($D49&amp;"/RUB",$C$17:$C$19,0))),0)</f>
        <v>0</v>
      </c>
      <c r="S144" s="237">
        <f>IFERROR(IF($D49="RUB",$E49*S49*(1+S$29),$E49*S49*(1+INDEX(S$30:S$35,MATCH("Инфляция "&amp;$D49,$C$30:$C$35,0)+1))*INDEX(Расчет!S$17:S$19,MATCH($D49&amp;"/RUB",$C$17:$C$19,0))),0)</f>
        <v>0</v>
      </c>
    </row>
    <row r="145" spans="1:19" s="2" customFormat="1" x14ac:dyDescent="0.25">
      <c r="A145" s="238"/>
      <c r="B145" s="238"/>
      <c r="C145" s="200" t="s">
        <v>42</v>
      </c>
      <c r="D145" s="242" t="s">
        <v>12</v>
      </c>
      <c r="E145" s="237">
        <f t="shared" si="66"/>
        <v>0</v>
      </c>
      <c r="F145" s="243">
        <f t="shared" si="67"/>
        <v>0</v>
      </c>
      <c r="G145" s="245"/>
      <c r="H145" s="237">
        <f>IFERROR(IF($D50="RUB",$E50*H50*(1+H$29),$E50*H50*(1+INDEX(H$30:H$35,MATCH("Инфляция "&amp;$D50,$C$30:$C$35,0)+1))*INDEX(Расчет!H$17:H$19,MATCH($D50&amp;"/RUB",$C$17:$C$19,0))),0)</f>
        <v>0</v>
      </c>
      <c r="I145" s="237">
        <f>IFERROR(IF($D50="RUB",$E50*I50*(1+I$29),$E50*I50*(1+INDEX(I$30:I$35,MATCH("Инфляция "&amp;$D50,$C$30:$C$35,0)+1))*INDEX(Расчет!I$17:I$19,MATCH($D50&amp;"/RUB",$C$17:$C$19,0))),0)</f>
        <v>0</v>
      </c>
      <c r="J145" s="237">
        <f>IFERROR(IF($D50="RUB",$E50*J50*(1+J$29),$E50*J50*(1+INDEX(J$30:J$35,MATCH("Инфляция "&amp;$D50,$C$30:$C$35,0)+1))*INDEX(Расчет!J$17:J$19,MATCH($D50&amp;"/RUB",$C$17:$C$19,0))),0)</f>
        <v>0</v>
      </c>
      <c r="K145" s="237">
        <f>IFERROR(IF($D50="RUB",$E50*K50*(1+K$29),$E50*K50*(1+INDEX(K$30:K$35,MATCH("Инфляция "&amp;$D50,$C$30:$C$35,0)+1))*INDEX(Расчет!K$17:K$19,MATCH($D50&amp;"/RUB",$C$17:$C$19,0))),0)</f>
        <v>0</v>
      </c>
      <c r="L145" s="237">
        <f>IFERROR(IF($D50="RUB",$E50*L50*(1+L$29),$E50*L50*(1+INDEX(L$30:L$35,MATCH("Инфляция "&amp;$D50,$C$30:$C$35,0)+1))*INDEX(Расчет!L$17:L$19,MATCH($D50&amp;"/RUB",$C$17:$C$19,0))),0)</f>
        <v>0</v>
      </c>
      <c r="M145" s="237">
        <f>IFERROR(IF($D50="RUB",$E50*M50*(1+M$29),$E50*M50*(1+INDEX(M$30:M$35,MATCH("Инфляция "&amp;$D50,$C$30:$C$35,0)+1))*INDEX(Расчет!M$17:M$19,MATCH($D50&amp;"/RUB",$C$17:$C$19,0))),0)</f>
        <v>0</v>
      </c>
      <c r="N145" s="237">
        <f>IFERROR(IF($D50="RUB",$E50*N50*(1+N$29),$E50*N50*(1+INDEX(N$30:N$35,MATCH("Инфляция "&amp;$D50,$C$30:$C$35,0)+1))*INDEX(Расчет!N$17:N$19,MATCH($D50&amp;"/RUB",$C$17:$C$19,0))),0)</f>
        <v>0</v>
      </c>
      <c r="O145" s="237">
        <f>IFERROR(IF($D50="RUB",$E50*O50*(1+O$29),$E50*O50*(1+INDEX(O$30:O$35,MATCH("Инфляция "&amp;$D50,$C$30:$C$35,0)+1))*INDEX(Расчет!O$17:O$19,MATCH($D50&amp;"/RUB",$C$17:$C$19,0))),0)</f>
        <v>0</v>
      </c>
      <c r="P145" s="237">
        <f>IFERROR(IF($D50="RUB",$E50*P50*(1+P$29),$E50*P50*(1+INDEX(P$30:P$35,MATCH("Инфляция "&amp;$D50,$C$30:$C$35,0)+1))*INDEX(Расчет!P$17:P$19,MATCH($D50&amp;"/RUB",$C$17:$C$19,0))),0)</f>
        <v>0</v>
      </c>
      <c r="Q145" s="237">
        <f>IFERROR(IF($D50="RUB",$E50*Q50*(1+Q$29),$E50*Q50*(1+INDEX(Q$30:Q$35,MATCH("Инфляция "&amp;$D50,$C$30:$C$35,0)+1))*INDEX(Расчет!Q$17:Q$19,MATCH($D50&amp;"/RUB",$C$17:$C$19,0))),0)</f>
        <v>0</v>
      </c>
      <c r="R145" s="237">
        <f>IFERROR(IF($D50="RUB",$E50*R50*(1+R$29),$E50*R50*(1+INDEX(R$30:R$35,MATCH("Инфляция "&amp;$D50,$C$30:$C$35,0)+1))*INDEX(Расчет!R$17:R$19,MATCH($D50&amp;"/RUB",$C$17:$C$19,0))),0)</f>
        <v>0</v>
      </c>
      <c r="S145" s="237">
        <f>IFERROR(IF($D50="RUB",$E50*S50*(1+S$29),$E50*S50*(1+INDEX(S$30:S$35,MATCH("Инфляция "&amp;$D50,$C$30:$C$35,0)+1))*INDEX(Расчет!S$17:S$19,MATCH($D50&amp;"/RUB",$C$17:$C$19,0))),0)</f>
        <v>0</v>
      </c>
    </row>
    <row r="146" spans="1:19" s="2" customFormat="1" x14ac:dyDescent="0.25">
      <c r="A146" s="238"/>
      <c r="B146" s="238"/>
      <c r="C146" s="200" t="s">
        <v>42</v>
      </c>
      <c r="D146" s="242" t="s">
        <v>12</v>
      </c>
      <c r="E146" s="237">
        <f t="shared" si="66"/>
        <v>0</v>
      </c>
      <c r="F146" s="243">
        <f t="shared" si="67"/>
        <v>0</v>
      </c>
      <c r="G146" s="245"/>
      <c r="H146" s="237">
        <f>IFERROR(IF($D51="RUB",$E51*H51*(1+H$29),$E51*H51*(1+INDEX(H$30:H$35,MATCH("Инфляция "&amp;$D51,$C$30:$C$35,0)+1))*INDEX(Расчет!H$17:H$19,MATCH($D51&amp;"/RUB",$C$17:$C$19,0))),0)</f>
        <v>0</v>
      </c>
      <c r="I146" s="237">
        <f>IFERROR(IF($D51="RUB",$E51*I51*(1+I$29),$E51*I51*(1+INDEX(I$30:I$35,MATCH("Инфляция "&amp;$D51,$C$30:$C$35,0)+1))*INDEX(Расчет!I$17:I$19,MATCH($D51&amp;"/RUB",$C$17:$C$19,0))),0)</f>
        <v>0</v>
      </c>
      <c r="J146" s="237">
        <f>IFERROR(IF($D51="RUB",$E51*J51*(1+J$29),$E51*J51*(1+INDEX(J$30:J$35,MATCH("Инфляция "&amp;$D51,$C$30:$C$35,0)+1))*INDEX(Расчет!J$17:J$19,MATCH($D51&amp;"/RUB",$C$17:$C$19,0))),0)</f>
        <v>0</v>
      </c>
      <c r="K146" s="237">
        <f>IFERROR(IF($D51="RUB",$E51*K51*(1+K$29),$E51*K51*(1+INDEX(K$30:K$35,MATCH("Инфляция "&amp;$D51,$C$30:$C$35,0)+1))*INDEX(Расчет!K$17:K$19,MATCH($D51&amp;"/RUB",$C$17:$C$19,0))),0)</f>
        <v>0</v>
      </c>
      <c r="L146" s="237">
        <f>IFERROR(IF($D51="RUB",$E51*L51*(1+L$29),$E51*L51*(1+INDEX(L$30:L$35,MATCH("Инфляция "&amp;$D51,$C$30:$C$35,0)+1))*INDEX(Расчет!L$17:L$19,MATCH($D51&amp;"/RUB",$C$17:$C$19,0))),0)</f>
        <v>0</v>
      </c>
      <c r="M146" s="237">
        <f>IFERROR(IF($D51="RUB",$E51*M51*(1+M$29),$E51*M51*(1+INDEX(M$30:M$35,MATCH("Инфляция "&amp;$D51,$C$30:$C$35,0)+1))*INDEX(Расчет!M$17:M$19,MATCH($D51&amp;"/RUB",$C$17:$C$19,0))),0)</f>
        <v>0</v>
      </c>
      <c r="N146" s="237">
        <f>IFERROR(IF($D51="RUB",$E51*N51*(1+N$29),$E51*N51*(1+INDEX(N$30:N$35,MATCH("Инфляция "&amp;$D51,$C$30:$C$35,0)+1))*INDEX(Расчет!N$17:N$19,MATCH($D51&amp;"/RUB",$C$17:$C$19,0))),0)</f>
        <v>0</v>
      </c>
      <c r="O146" s="237">
        <f>IFERROR(IF($D51="RUB",$E51*O51*(1+O$29),$E51*O51*(1+INDEX(O$30:O$35,MATCH("Инфляция "&amp;$D51,$C$30:$C$35,0)+1))*INDEX(Расчет!O$17:O$19,MATCH($D51&amp;"/RUB",$C$17:$C$19,0))),0)</f>
        <v>0</v>
      </c>
      <c r="P146" s="237">
        <f>IFERROR(IF($D51="RUB",$E51*P51*(1+P$29),$E51*P51*(1+INDEX(P$30:P$35,MATCH("Инфляция "&amp;$D51,$C$30:$C$35,0)+1))*INDEX(Расчет!P$17:P$19,MATCH($D51&amp;"/RUB",$C$17:$C$19,0))),0)</f>
        <v>0</v>
      </c>
      <c r="Q146" s="237">
        <f>IFERROR(IF($D51="RUB",$E51*Q51*(1+Q$29),$E51*Q51*(1+INDEX(Q$30:Q$35,MATCH("Инфляция "&amp;$D51,$C$30:$C$35,0)+1))*INDEX(Расчет!Q$17:Q$19,MATCH($D51&amp;"/RUB",$C$17:$C$19,0))),0)</f>
        <v>0</v>
      </c>
      <c r="R146" s="237">
        <f>IFERROR(IF($D51="RUB",$E51*R51*(1+R$29),$E51*R51*(1+INDEX(R$30:R$35,MATCH("Инфляция "&amp;$D51,$C$30:$C$35,0)+1))*INDEX(Расчет!R$17:R$19,MATCH($D51&amp;"/RUB",$C$17:$C$19,0))),0)</f>
        <v>0</v>
      </c>
      <c r="S146" s="237">
        <f>IFERROR(IF($D51="RUB",$E51*S51*(1+S$29),$E51*S51*(1+INDEX(S$30:S$35,MATCH("Инфляция "&amp;$D51,$C$30:$C$35,0)+1))*INDEX(Расчет!S$17:S$19,MATCH($D51&amp;"/RUB",$C$17:$C$19,0))),0)</f>
        <v>0</v>
      </c>
    </row>
    <row r="147" spans="1:19" s="2" customFormat="1" x14ac:dyDescent="0.25">
      <c r="A147" s="238"/>
      <c r="B147" s="238"/>
      <c r="C147" s="200" t="s">
        <v>141</v>
      </c>
      <c r="D147" s="242" t="s">
        <v>12</v>
      </c>
      <c r="E147" s="237">
        <f t="shared" ca="1" si="66"/>
        <v>25847.570001839649</v>
      </c>
      <c r="F147" s="243">
        <f t="shared" si="67"/>
        <v>0.2</v>
      </c>
      <c r="G147" s="246"/>
      <c r="H147" s="237">
        <f ca="1">IFERROR(IF($D52="RUB",$E52*H52*(1+H$29),$E52*H52*(1+INDEX(H$30:H$35,MATCH("Инфляция "&amp;$D52,$C$30:$C$35,0)+1))*INDEX(Расчет!H$17:H$19,MATCH($D52&amp;"/RUB",$C$17:$C$19,0))),0)</f>
        <v>0</v>
      </c>
      <c r="I147" s="237">
        <f ca="1">IFERROR(IF($D52="RUB",$E52*I52*(1+I$29),$E52*I52*(1+INDEX(I$30:I$35,MATCH("Инфляция "&amp;$D52,$C$30:$C$35,0)+1))*INDEX(Расчет!I$17:I$19,MATCH($D52&amp;"/RUB",$C$17:$C$19,0))),0)</f>
        <v>0</v>
      </c>
      <c r="J147" s="237">
        <f ca="1">IFERROR(IF($D52="RUB",$E52*J52*(1+J$29),$E52*J52*(1+INDEX(J$30:J$35,MATCH("Инфляция "&amp;$D52,$C$30:$C$35,0)+1))*INDEX(Расчет!J$17:J$19,MATCH($D52&amp;"/RUB",$C$17:$C$19,0))),0)</f>
        <v>0</v>
      </c>
      <c r="K147" s="237">
        <f ca="1">IFERROR(IF($D52="RUB",$E52*K52*(1+K$29),$E52*K52*(1+INDEX(K$30:K$35,MATCH("Инфляция "&amp;$D52,$C$30:$C$35,0)+1))*INDEX(Расчет!K$17:K$19,MATCH($D52&amp;"/RUB",$C$17:$C$19,0))),0)</f>
        <v>0</v>
      </c>
      <c r="L147" s="237">
        <f ca="1">IFERROR(IF($D52="RUB",$E52*L52*(1+L$29),$E52*L52*(1+INDEX(L$30:L$35,MATCH("Инфляция "&amp;$D52,$C$30:$C$35,0)+1))*INDEX(Расчет!L$17:L$19,MATCH($D52&amp;"/RUB",$C$17:$C$19,0))),0)</f>
        <v>0</v>
      </c>
      <c r="M147" s="237">
        <f ca="1">IFERROR(IF($D52="RUB",$E52*M52*(1+M$29),$E52*M52*(1+INDEX(M$30:M$35,MATCH("Инфляция "&amp;$D52,$C$30:$C$35,0)+1))*INDEX(Расчет!M$17:M$19,MATCH($D52&amp;"/RUB",$C$17:$C$19,0))),0)</f>
        <v>25847.570001839649</v>
      </c>
      <c r="N147" s="237">
        <f ca="1">IFERROR(IF($D52="RUB",$E52*N52*(1+N$29),$E52*N52*(1+INDEX(N$30:N$35,MATCH("Инфляция "&amp;$D52,$C$30:$C$35,0)+1))*INDEX(Расчет!N$17:N$19,MATCH($D52&amp;"/RUB",$C$17:$C$19,0))),0)</f>
        <v>0</v>
      </c>
      <c r="O147" s="237">
        <f ca="1">IFERROR(IF($D52="RUB",$E52*O52*(1+O$29),$E52*O52*(1+INDEX(O$30:O$35,MATCH("Инфляция "&amp;$D52,$C$30:$C$35,0)+1))*INDEX(Расчет!O$17:O$19,MATCH($D52&amp;"/RUB",$C$17:$C$19,0))),0)</f>
        <v>0</v>
      </c>
      <c r="P147" s="237">
        <f ca="1">IFERROR(IF($D52="RUB",$E52*P52*(1+P$29),$E52*P52*(1+INDEX(P$30:P$35,MATCH("Инфляция "&amp;$D52,$C$30:$C$35,0)+1))*INDEX(Расчет!P$17:P$19,MATCH($D52&amp;"/RUB",$C$17:$C$19,0))),0)</f>
        <v>0</v>
      </c>
      <c r="Q147" s="237">
        <f ca="1">IFERROR(IF($D52="RUB",$E52*Q52*(1+Q$29),$E52*Q52*(1+INDEX(Q$30:Q$35,MATCH("Инфляция "&amp;$D52,$C$30:$C$35,0)+1))*INDEX(Расчет!Q$17:Q$19,MATCH($D52&amp;"/RUB",$C$17:$C$19,0))),0)</f>
        <v>0</v>
      </c>
      <c r="R147" s="237">
        <f ca="1">IFERROR(IF($D52="RUB",$E52*R52*(1+R$29),$E52*R52*(1+INDEX(R$30:R$35,MATCH("Инфляция "&amp;$D52,$C$30:$C$35,0)+1))*INDEX(Расчет!R$17:R$19,MATCH($D52&amp;"/RUB",$C$17:$C$19,0))),0)</f>
        <v>0</v>
      </c>
      <c r="S147" s="237">
        <f ca="1">IFERROR(IF($D52="RUB",$E52*S52*(1+S$29),$E52*S52*(1+INDEX(S$30:S$35,MATCH("Инфляция "&amp;$D52,$C$30:$C$35,0)+1))*INDEX(Расчет!S$17:S$19,MATCH($D52&amp;"/RUB",$C$17:$C$19,0))),0)</f>
        <v>0</v>
      </c>
    </row>
    <row r="148" spans="1:19" s="2" customFormat="1" x14ac:dyDescent="0.25">
      <c r="A148" s="238"/>
      <c r="B148" s="238"/>
      <c r="C148" s="200" t="s">
        <v>141</v>
      </c>
      <c r="D148" s="242" t="s">
        <v>12</v>
      </c>
      <c r="E148" s="237">
        <f t="shared" si="66"/>
        <v>0</v>
      </c>
      <c r="F148" s="243">
        <f t="shared" si="67"/>
        <v>0</v>
      </c>
      <c r="G148" s="246"/>
      <c r="H148" s="237">
        <f>IFERROR(IF($D53="RUB",$E53*H53*(1+H$29),$E53*H53*(1+INDEX(H$30:H$35,MATCH("Инфляция "&amp;$D53,$C$30:$C$35,0)+1))*INDEX(Расчет!H$17:H$19,MATCH($D53&amp;"/RUB",$C$17:$C$19,0))),0)</f>
        <v>0</v>
      </c>
      <c r="I148" s="237">
        <f>IFERROR(IF($D53="RUB",$E53*I53*(1+I$29),$E53*I53*(1+INDEX(I$30:I$35,MATCH("Инфляция "&amp;$D53,$C$30:$C$35,0)+1))*INDEX(Расчет!I$17:I$19,MATCH($D53&amp;"/RUB",$C$17:$C$19,0))),0)</f>
        <v>0</v>
      </c>
      <c r="J148" s="237">
        <f>IFERROR(IF($D53="RUB",$E53*J53*(1+J$29),$E53*J53*(1+INDEX(J$30:J$35,MATCH("Инфляция "&amp;$D53,$C$30:$C$35,0)+1))*INDEX(Расчет!J$17:J$19,MATCH($D53&amp;"/RUB",$C$17:$C$19,0))),0)</f>
        <v>0</v>
      </c>
      <c r="K148" s="237">
        <f>IFERROR(IF($D53="RUB",$E53*K53*(1+K$29),$E53*K53*(1+INDEX(K$30:K$35,MATCH("Инфляция "&amp;$D53,$C$30:$C$35,0)+1))*INDEX(Расчет!K$17:K$19,MATCH($D53&amp;"/RUB",$C$17:$C$19,0))),0)</f>
        <v>0</v>
      </c>
      <c r="L148" s="237">
        <f>IFERROR(IF($D53="RUB",$E53*L53*(1+L$29),$E53*L53*(1+INDEX(L$30:L$35,MATCH("Инфляция "&amp;$D53,$C$30:$C$35,0)+1))*INDEX(Расчет!L$17:L$19,MATCH($D53&amp;"/RUB",$C$17:$C$19,0))),0)</f>
        <v>0</v>
      </c>
      <c r="M148" s="237">
        <f>IFERROR(IF($D53="RUB",$E53*M53*(1+M$29),$E53*M53*(1+INDEX(M$30:M$35,MATCH("Инфляция "&amp;$D53,$C$30:$C$35,0)+1))*INDEX(Расчет!M$17:M$19,MATCH($D53&amp;"/RUB",$C$17:$C$19,0))),0)</f>
        <v>0</v>
      </c>
      <c r="N148" s="237">
        <f>IFERROR(IF($D53="RUB",$E53*N53*(1+N$29),$E53*N53*(1+INDEX(N$30:N$35,MATCH("Инфляция "&amp;$D53,$C$30:$C$35,0)+1))*INDEX(Расчет!N$17:N$19,MATCH($D53&amp;"/RUB",$C$17:$C$19,0))),0)</f>
        <v>0</v>
      </c>
      <c r="O148" s="237">
        <f>IFERROR(IF($D53="RUB",$E53*O53*(1+O$29),$E53*O53*(1+INDEX(O$30:O$35,MATCH("Инфляция "&amp;$D53,$C$30:$C$35,0)+1))*INDEX(Расчет!O$17:O$19,MATCH($D53&amp;"/RUB",$C$17:$C$19,0))),0)</f>
        <v>0</v>
      </c>
      <c r="P148" s="237">
        <f>IFERROR(IF($D53="RUB",$E53*P53*(1+P$29),$E53*P53*(1+INDEX(P$30:P$35,MATCH("Инфляция "&amp;$D53,$C$30:$C$35,0)+1))*INDEX(Расчет!P$17:P$19,MATCH($D53&amp;"/RUB",$C$17:$C$19,0))),0)</f>
        <v>0</v>
      </c>
      <c r="Q148" s="237">
        <f>IFERROR(IF($D53="RUB",$E53*Q53*(1+Q$29),$E53*Q53*(1+INDEX(Q$30:Q$35,MATCH("Инфляция "&amp;$D53,$C$30:$C$35,0)+1))*INDEX(Расчет!Q$17:Q$19,MATCH($D53&amp;"/RUB",$C$17:$C$19,0))),0)</f>
        <v>0</v>
      </c>
      <c r="R148" s="237">
        <f>IFERROR(IF($D53="RUB",$E53*R53*(1+R$29),$E53*R53*(1+INDEX(R$30:R$35,MATCH("Инфляция "&amp;$D53,$C$30:$C$35,0)+1))*INDEX(Расчет!R$17:R$19,MATCH($D53&amp;"/RUB",$C$17:$C$19,0))),0)</f>
        <v>0</v>
      </c>
      <c r="S148" s="237">
        <f>IFERROR(IF($D53="RUB",$E53*S53*(1+S$29),$E53*S53*(1+INDEX(S$30:S$35,MATCH("Инфляция "&amp;$D53,$C$30:$C$35,0)+1))*INDEX(Расчет!S$17:S$19,MATCH($D53&amp;"/RUB",$C$17:$C$19,0))),0)</f>
        <v>0</v>
      </c>
    </row>
    <row r="149" spans="1:19" s="2" customFormat="1" x14ac:dyDescent="0.25">
      <c r="A149" s="238"/>
      <c r="B149" s="238"/>
      <c r="C149" s="200" t="s">
        <v>141</v>
      </c>
      <c r="D149" s="242" t="s">
        <v>12</v>
      </c>
      <c r="E149" s="237">
        <f t="shared" si="66"/>
        <v>0</v>
      </c>
      <c r="F149" s="243">
        <f t="shared" si="67"/>
        <v>0</v>
      </c>
      <c r="G149" s="246"/>
      <c r="H149" s="237">
        <f>IFERROR(IF($D54="RUB",$E54*H54*(1+H$29),$E54*H54*(1+INDEX(H$30:H$35,MATCH("Инфляция "&amp;$D54,$C$30:$C$35,0)+1))*INDEX(Расчет!H$17:H$19,MATCH($D54&amp;"/RUB",$C$17:$C$19,0))),0)</f>
        <v>0</v>
      </c>
      <c r="I149" s="237">
        <f>IFERROR(IF($D54="RUB",$E54*I54*(1+I$29),$E54*I54*(1+INDEX(I$30:I$35,MATCH("Инфляция "&amp;$D54,$C$30:$C$35,0)+1))*INDEX(Расчет!I$17:I$19,MATCH($D54&amp;"/RUB",$C$17:$C$19,0))),0)</f>
        <v>0</v>
      </c>
      <c r="J149" s="237">
        <f>IFERROR(IF($D54="RUB",$E54*J54*(1+J$29),$E54*J54*(1+INDEX(J$30:J$35,MATCH("Инфляция "&amp;$D54,$C$30:$C$35,0)+1))*INDEX(Расчет!J$17:J$19,MATCH($D54&amp;"/RUB",$C$17:$C$19,0))),0)</f>
        <v>0</v>
      </c>
      <c r="K149" s="237">
        <f>IFERROR(IF($D54="RUB",$E54*K54*(1+K$29),$E54*K54*(1+INDEX(K$30:K$35,MATCH("Инфляция "&amp;$D54,$C$30:$C$35,0)+1))*INDEX(Расчет!K$17:K$19,MATCH($D54&amp;"/RUB",$C$17:$C$19,0))),0)</f>
        <v>0</v>
      </c>
      <c r="L149" s="237">
        <f>IFERROR(IF($D54="RUB",$E54*L54*(1+L$29),$E54*L54*(1+INDEX(L$30:L$35,MATCH("Инфляция "&amp;$D54,$C$30:$C$35,0)+1))*INDEX(Расчет!L$17:L$19,MATCH($D54&amp;"/RUB",$C$17:$C$19,0))),0)</f>
        <v>0</v>
      </c>
      <c r="M149" s="237">
        <f>IFERROR(IF($D54="RUB",$E54*M54*(1+M$29),$E54*M54*(1+INDEX(M$30:M$35,MATCH("Инфляция "&amp;$D54,$C$30:$C$35,0)+1))*INDEX(Расчет!M$17:M$19,MATCH($D54&amp;"/RUB",$C$17:$C$19,0))),0)</f>
        <v>0</v>
      </c>
      <c r="N149" s="237">
        <f>IFERROR(IF($D54="RUB",$E54*N54*(1+N$29),$E54*N54*(1+INDEX(N$30:N$35,MATCH("Инфляция "&amp;$D54,$C$30:$C$35,0)+1))*INDEX(Расчет!N$17:N$19,MATCH($D54&amp;"/RUB",$C$17:$C$19,0))),0)</f>
        <v>0</v>
      </c>
      <c r="O149" s="237">
        <f>IFERROR(IF($D54="RUB",$E54*O54*(1+O$29),$E54*O54*(1+INDEX(O$30:O$35,MATCH("Инфляция "&amp;$D54,$C$30:$C$35,0)+1))*INDEX(Расчет!O$17:O$19,MATCH($D54&amp;"/RUB",$C$17:$C$19,0))),0)</f>
        <v>0</v>
      </c>
      <c r="P149" s="237">
        <f>IFERROR(IF($D54="RUB",$E54*P54*(1+P$29),$E54*P54*(1+INDEX(P$30:P$35,MATCH("Инфляция "&amp;$D54,$C$30:$C$35,0)+1))*INDEX(Расчет!P$17:P$19,MATCH($D54&amp;"/RUB",$C$17:$C$19,0))),0)</f>
        <v>0</v>
      </c>
      <c r="Q149" s="237">
        <f>IFERROR(IF($D54="RUB",$E54*Q54*(1+Q$29),$E54*Q54*(1+INDEX(Q$30:Q$35,MATCH("Инфляция "&amp;$D54,$C$30:$C$35,0)+1))*INDEX(Расчет!Q$17:Q$19,MATCH($D54&amp;"/RUB",$C$17:$C$19,0))),0)</f>
        <v>0</v>
      </c>
      <c r="R149" s="237">
        <f>IFERROR(IF($D54="RUB",$E54*R54*(1+R$29),$E54*R54*(1+INDEX(R$30:R$35,MATCH("Инфляция "&amp;$D54,$C$30:$C$35,0)+1))*INDEX(Расчет!R$17:R$19,MATCH($D54&amp;"/RUB",$C$17:$C$19,0))),0)</f>
        <v>0</v>
      </c>
      <c r="S149" s="237">
        <f>IFERROR(IF($D54="RUB",$E54*S54*(1+S$29),$E54*S54*(1+INDEX(S$30:S$35,MATCH("Инфляция "&amp;$D54,$C$30:$C$35,0)+1))*INDEX(Расчет!S$17:S$19,MATCH($D54&amp;"/RUB",$C$17:$C$19,0))),0)</f>
        <v>0</v>
      </c>
    </row>
    <row r="150" spans="1:19" s="2" customFormat="1" x14ac:dyDescent="0.25">
      <c r="A150" s="238"/>
      <c r="B150" s="238"/>
      <c r="C150" s="200" t="s">
        <v>141</v>
      </c>
      <c r="D150" s="242" t="s">
        <v>12</v>
      </c>
      <c r="E150" s="237">
        <f t="shared" si="66"/>
        <v>0</v>
      </c>
      <c r="F150" s="243">
        <f t="shared" si="67"/>
        <v>0</v>
      </c>
      <c r="G150" s="246"/>
      <c r="H150" s="237">
        <f>IFERROR(IF($D55="RUB",$E55*H55*(1+H$29),$E55*H55*(1+INDEX(H$30:H$35,MATCH("Инфляция "&amp;$D55,$C$30:$C$35,0)+1))*INDEX(Расчет!H$17:H$19,MATCH($D55&amp;"/RUB",$C$17:$C$19,0))),0)</f>
        <v>0</v>
      </c>
      <c r="I150" s="237">
        <f>IFERROR(IF($D55="RUB",$E55*I55*(1+I$29),$E55*I55*(1+INDEX(I$30:I$35,MATCH("Инфляция "&amp;$D55,$C$30:$C$35,0)+1))*INDEX(Расчет!I$17:I$19,MATCH($D55&amp;"/RUB",$C$17:$C$19,0))),0)</f>
        <v>0</v>
      </c>
      <c r="J150" s="237">
        <f>IFERROR(IF($D55="RUB",$E55*J55*(1+J$29),$E55*J55*(1+INDEX(J$30:J$35,MATCH("Инфляция "&amp;$D55,$C$30:$C$35,0)+1))*INDEX(Расчет!J$17:J$19,MATCH($D55&amp;"/RUB",$C$17:$C$19,0))),0)</f>
        <v>0</v>
      </c>
      <c r="K150" s="237">
        <f>IFERROR(IF($D55="RUB",$E55*K55*(1+K$29),$E55*K55*(1+INDEX(K$30:K$35,MATCH("Инфляция "&amp;$D55,$C$30:$C$35,0)+1))*INDEX(Расчет!K$17:K$19,MATCH($D55&amp;"/RUB",$C$17:$C$19,0))),0)</f>
        <v>0</v>
      </c>
      <c r="L150" s="237">
        <f>IFERROR(IF($D55="RUB",$E55*L55*(1+L$29),$E55*L55*(1+INDEX(L$30:L$35,MATCH("Инфляция "&amp;$D55,$C$30:$C$35,0)+1))*INDEX(Расчет!L$17:L$19,MATCH($D55&amp;"/RUB",$C$17:$C$19,0))),0)</f>
        <v>0</v>
      </c>
      <c r="M150" s="237">
        <f>IFERROR(IF($D55="RUB",$E55*M55*(1+M$29),$E55*M55*(1+INDEX(M$30:M$35,MATCH("Инфляция "&amp;$D55,$C$30:$C$35,0)+1))*INDEX(Расчет!M$17:M$19,MATCH($D55&amp;"/RUB",$C$17:$C$19,0))),0)</f>
        <v>0</v>
      </c>
      <c r="N150" s="237">
        <f>IFERROR(IF($D55="RUB",$E55*N55*(1+N$29),$E55*N55*(1+INDEX(N$30:N$35,MATCH("Инфляция "&amp;$D55,$C$30:$C$35,0)+1))*INDEX(Расчет!N$17:N$19,MATCH($D55&amp;"/RUB",$C$17:$C$19,0))),0)</f>
        <v>0</v>
      </c>
      <c r="O150" s="237">
        <f>IFERROR(IF($D55="RUB",$E55*O55*(1+O$29),$E55*O55*(1+INDEX(O$30:O$35,MATCH("Инфляция "&amp;$D55,$C$30:$C$35,0)+1))*INDEX(Расчет!O$17:O$19,MATCH($D55&amp;"/RUB",$C$17:$C$19,0))),0)</f>
        <v>0</v>
      </c>
      <c r="P150" s="237">
        <f>IFERROR(IF($D55="RUB",$E55*P55*(1+P$29),$E55*P55*(1+INDEX(P$30:P$35,MATCH("Инфляция "&amp;$D55,$C$30:$C$35,0)+1))*INDEX(Расчет!P$17:P$19,MATCH($D55&amp;"/RUB",$C$17:$C$19,0))),0)</f>
        <v>0</v>
      </c>
      <c r="Q150" s="237">
        <f>IFERROR(IF($D55="RUB",$E55*Q55*(1+Q$29),$E55*Q55*(1+INDEX(Q$30:Q$35,MATCH("Инфляция "&amp;$D55,$C$30:$C$35,0)+1))*INDEX(Расчет!Q$17:Q$19,MATCH($D55&amp;"/RUB",$C$17:$C$19,0))),0)</f>
        <v>0</v>
      </c>
      <c r="R150" s="237">
        <f>IFERROR(IF($D55="RUB",$E55*R55*(1+R$29),$E55*R55*(1+INDEX(R$30:R$35,MATCH("Инфляция "&amp;$D55,$C$30:$C$35,0)+1))*INDEX(Расчет!R$17:R$19,MATCH($D55&amp;"/RUB",$C$17:$C$19,0))),0)</f>
        <v>0</v>
      </c>
      <c r="S150" s="237">
        <f>IFERROR(IF($D55="RUB",$E55*S55*(1+S$29),$E55*S55*(1+INDEX(S$30:S$35,MATCH("Инфляция "&amp;$D55,$C$30:$C$35,0)+1))*INDEX(Расчет!S$17:S$19,MATCH($D55&amp;"/RUB",$C$17:$C$19,0))),0)</f>
        <v>0</v>
      </c>
    </row>
    <row r="151" spans="1:19" s="2" customFormat="1" x14ac:dyDescent="0.25">
      <c r="A151" s="247"/>
      <c r="B151" s="247"/>
      <c r="C151" s="200" t="s">
        <v>137</v>
      </c>
      <c r="D151" s="194" t="s">
        <v>12</v>
      </c>
      <c r="E151" s="248">
        <f t="shared" ca="1" si="66"/>
        <v>5385599.6855833093</v>
      </c>
      <c r="F151" s="249">
        <f t="shared" si="67"/>
        <v>0</v>
      </c>
      <c r="G151" s="200"/>
      <c r="H151" s="237">
        <f ca="1">IFERROR(IF($D56="RUB",$E56*H56*(1+H$29),$E56*H56*(1+INDEX(H$30:H$35,MATCH("Инфляция "&amp;$D56,$C$30:$C$35,0)+1))*INDEX(Расчет!H$17:H$19,MATCH($D56&amp;"/RUB",$C$17:$C$19,0))),0)</f>
        <v>0</v>
      </c>
      <c r="I151" s="237">
        <f ca="1">IFERROR(IF($D56="RUB",$E56*I56*(1+I$29),$E56*I56*(1+INDEX(I$30:I$35,MATCH("Инфляция "&amp;$D56,$C$30:$C$35,0)+1))*INDEX(Расчет!I$17:I$19,MATCH($D56&amp;"/RUB",$C$17:$C$19,0))),0)</f>
        <v>0</v>
      </c>
      <c r="J151" s="237">
        <f ca="1">IFERROR(IF($D56="RUB",$E56*J56*(1+J$29),$E56*J56*(1+INDEX(J$30:J$35,MATCH("Инфляция "&amp;$D56,$C$30:$C$35,0)+1))*INDEX(Расчет!J$17:J$19,MATCH($D56&amp;"/RUB",$C$17:$C$19,0))),0)</f>
        <v>0</v>
      </c>
      <c r="K151" s="237">
        <f ca="1">IFERROR(IF($D56="RUB",$E56*K56*(1+K$29),$E56*K56*(1+INDEX(K$30:K$35,MATCH("Инфляция "&amp;$D56,$C$30:$C$35,0)+1))*INDEX(Расчет!K$17:K$19,MATCH($D56&amp;"/RUB",$C$17:$C$19,0))),0)</f>
        <v>0</v>
      </c>
      <c r="L151" s="237">
        <f ca="1">IFERROR(IF($D56="RUB",$E56*L56*(1+L$29),$E56*L56*(1+INDEX(L$30:L$35,MATCH("Инфляция "&amp;$D56,$C$30:$C$35,0)+1))*INDEX(Расчет!L$17:L$19,MATCH($D56&amp;"/RUB",$C$17:$C$19,0))),0)</f>
        <v>0</v>
      </c>
      <c r="M151" s="237">
        <f ca="1">IFERROR(IF($D56="RUB",$E56*M56*(1+M$29),$E56*M56*(1+INDEX(M$30:M$35,MATCH("Инфляция "&amp;$D56,$C$30:$C$35,0)+1))*INDEX(Расчет!M$17:M$19,MATCH($D56&amp;"/RUB",$C$17:$C$19,0))),0)</f>
        <v>5385599.6855833093</v>
      </c>
      <c r="N151" s="237">
        <f ca="1">IFERROR(IF($D56="RUB",$E56*N56*(1+N$29),$E56*N56*(1+INDEX(N$30:N$35,MATCH("Инфляция "&amp;$D56,$C$30:$C$35,0)+1))*INDEX(Расчет!N$17:N$19,MATCH($D56&amp;"/RUB",$C$17:$C$19,0))),0)</f>
        <v>0</v>
      </c>
      <c r="O151" s="237">
        <f ca="1">IFERROR(IF($D56="RUB",$E56*O56*(1+O$29),$E56*O56*(1+INDEX(O$30:O$35,MATCH("Инфляция "&amp;$D56,$C$30:$C$35,0)+1))*INDEX(Расчет!O$17:O$19,MATCH($D56&amp;"/RUB",$C$17:$C$19,0))),0)</f>
        <v>0</v>
      </c>
      <c r="P151" s="237">
        <f ca="1">IFERROR(IF($D56="RUB",$E56*P56*(1+P$29),$E56*P56*(1+INDEX(P$30:P$35,MATCH("Инфляция "&amp;$D56,$C$30:$C$35,0)+1))*INDEX(Расчет!P$17:P$19,MATCH($D56&amp;"/RUB",$C$17:$C$19,0))),0)</f>
        <v>0</v>
      </c>
      <c r="Q151" s="237">
        <f ca="1">IFERROR(IF($D56="RUB",$E56*Q56*(1+Q$29),$E56*Q56*(1+INDEX(Q$30:Q$35,MATCH("Инфляция "&amp;$D56,$C$30:$C$35,0)+1))*INDEX(Расчет!Q$17:Q$19,MATCH($D56&amp;"/RUB",$C$17:$C$19,0))),0)</f>
        <v>0</v>
      </c>
      <c r="R151" s="237">
        <f ca="1">IFERROR(IF($D56="RUB",$E56*R56*(1+R$29),$E56*R56*(1+INDEX(R$30:R$35,MATCH("Инфляция "&amp;$D56,$C$30:$C$35,0)+1))*INDEX(Расчет!R$17:R$19,MATCH($D56&amp;"/RUB",$C$17:$C$19,0))),0)</f>
        <v>0</v>
      </c>
      <c r="S151" s="237">
        <f ca="1">IFERROR(IF($D56="RUB",$E56*S56*(1+S$29),$E56*S56*(1+INDEX(S$30:S$35,MATCH("Инфляция "&amp;$D56,$C$30:$C$35,0)+1))*INDEX(Расчет!S$17:S$19,MATCH($D56&amp;"/RUB",$C$17:$C$19,0))),0)</f>
        <v>0</v>
      </c>
    </row>
    <row r="152" spans="1:19" s="2" customFormat="1" x14ac:dyDescent="0.25">
      <c r="A152" s="247"/>
      <c r="B152" s="247"/>
      <c r="C152" s="200" t="s">
        <v>137</v>
      </c>
      <c r="D152" s="194" t="s">
        <v>12</v>
      </c>
      <c r="E152" s="248">
        <f t="shared" si="66"/>
        <v>0</v>
      </c>
      <c r="F152" s="249">
        <f t="shared" si="67"/>
        <v>0</v>
      </c>
      <c r="G152" s="200"/>
      <c r="H152" s="237">
        <f>IFERROR(IF($D57="RUB",$E57*H57*(1+H$29),$E57*H57*(1+INDEX(H$30:H$35,MATCH("Инфляция "&amp;$D57,$C$30:$C$35,0)+1))*INDEX(Расчет!H$17:H$19,MATCH($D57&amp;"/RUB",$C$17:$C$19,0))),0)</f>
        <v>0</v>
      </c>
      <c r="I152" s="237">
        <f>IFERROR(IF($D57="RUB",$E57*I57*(1+I$29),$E57*I57*(1+INDEX(I$30:I$35,MATCH("Инфляция "&amp;$D57,$C$30:$C$35,0)+1))*INDEX(Расчет!I$17:I$19,MATCH($D57&amp;"/RUB",$C$17:$C$19,0))),0)</f>
        <v>0</v>
      </c>
      <c r="J152" s="237">
        <f>IFERROR(IF($D57="RUB",$E57*J57*(1+J$29),$E57*J57*(1+INDEX(J$30:J$35,MATCH("Инфляция "&amp;$D57,$C$30:$C$35,0)+1))*INDEX(Расчет!J$17:J$19,MATCH($D57&amp;"/RUB",$C$17:$C$19,0))),0)</f>
        <v>0</v>
      </c>
      <c r="K152" s="237">
        <f>IFERROR(IF($D57="RUB",$E57*K57*(1+K$29),$E57*K57*(1+INDEX(K$30:K$35,MATCH("Инфляция "&amp;$D57,$C$30:$C$35,0)+1))*INDEX(Расчет!K$17:K$19,MATCH($D57&amp;"/RUB",$C$17:$C$19,0))),0)</f>
        <v>0</v>
      </c>
      <c r="L152" s="237">
        <f>IFERROR(IF($D57="RUB",$E57*L57*(1+L$29),$E57*L57*(1+INDEX(L$30:L$35,MATCH("Инфляция "&amp;$D57,$C$30:$C$35,0)+1))*INDEX(Расчет!L$17:L$19,MATCH($D57&amp;"/RUB",$C$17:$C$19,0))),0)</f>
        <v>0</v>
      </c>
      <c r="M152" s="237">
        <f>IFERROR(IF($D57="RUB",$E57*M57*(1+M$29),$E57*M57*(1+INDEX(M$30:M$35,MATCH("Инфляция "&amp;$D57,$C$30:$C$35,0)+1))*INDEX(Расчет!M$17:M$19,MATCH($D57&amp;"/RUB",$C$17:$C$19,0))),0)</f>
        <v>0</v>
      </c>
      <c r="N152" s="237">
        <f>IFERROR(IF($D57="RUB",$E57*N57*(1+N$29),$E57*N57*(1+INDEX(N$30:N$35,MATCH("Инфляция "&amp;$D57,$C$30:$C$35,0)+1))*INDEX(Расчет!N$17:N$19,MATCH($D57&amp;"/RUB",$C$17:$C$19,0))),0)</f>
        <v>0</v>
      </c>
      <c r="O152" s="237">
        <f>IFERROR(IF($D57="RUB",$E57*O57*(1+O$29),$E57*O57*(1+INDEX(O$30:O$35,MATCH("Инфляция "&amp;$D57,$C$30:$C$35,0)+1))*INDEX(Расчет!O$17:O$19,MATCH($D57&amp;"/RUB",$C$17:$C$19,0))),0)</f>
        <v>0</v>
      </c>
      <c r="P152" s="237">
        <f>IFERROR(IF($D57="RUB",$E57*P57*(1+P$29),$E57*P57*(1+INDEX(P$30:P$35,MATCH("Инфляция "&amp;$D57,$C$30:$C$35,0)+1))*INDEX(Расчет!P$17:P$19,MATCH($D57&amp;"/RUB",$C$17:$C$19,0))),0)</f>
        <v>0</v>
      </c>
      <c r="Q152" s="237">
        <f>IFERROR(IF($D57="RUB",$E57*Q57*(1+Q$29),$E57*Q57*(1+INDEX(Q$30:Q$35,MATCH("Инфляция "&amp;$D57,$C$30:$C$35,0)+1))*INDEX(Расчет!Q$17:Q$19,MATCH($D57&amp;"/RUB",$C$17:$C$19,0))),0)</f>
        <v>0</v>
      </c>
      <c r="R152" s="237">
        <f>IFERROR(IF($D57="RUB",$E57*R57*(1+R$29),$E57*R57*(1+INDEX(R$30:R$35,MATCH("Инфляция "&amp;$D57,$C$30:$C$35,0)+1))*INDEX(Расчет!R$17:R$19,MATCH($D57&amp;"/RUB",$C$17:$C$19,0))),0)</f>
        <v>0</v>
      </c>
      <c r="S152" s="237">
        <f>IFERROR(IF($D57="RUB",$E57*S57*(1+S$29),$E57*S57*(1+INDEX(S$30:S$35,MATCH("Инфляция "&amp;$D57,$C$30:$C$35,0)+1))*INDEX(Расчет!S$17:S$19,MATCH($D57&amp;"/RUB",$C$17:$C$19,0))),0)</f>
        <v>0</v>
      </c>
    </row>
    <row r="153" spans="1:19" s="2" customFormat="1" x14ac:dyDescent="0.25">
      <c r="A153" s="247"/>
      <c r="B153" s="247"/>
      <c r="C153" s="200" t="s">
        <v>137</v>
      </c>
      <c r="D153" s="194" t="s">
        <v>12</v>
      </c>
      <c r="E153" s="248">
        <f t="shared" si="66"/>
        <v>0</v>
      </c>
      <c r="F153" s="249">
        <f t="shared" si="67"/>
        <v>0</v>
      </c>
      <c r="G153" s="200"/>
      <c r="H153" s="237">
        <f>IFERROR(IF($D58="RUB",$E58*H58*(1+H$29),$E58*H58*(1+INDEX(H$30:H$35,MATCH("Инфляция "&amp;$D58,$C$30:$C$35,0)+1))*INDEX(Расчет!H$17:H$19,MATCH($D58&amp;"/RUB",$C$17:$C$19,0))),0)</f>
        <v>0</v>
      </c>
      <c r="I153" s="237">
        <f>IFERROR(IF($D58="RUB",$E58*I58*(1+I$29),$E58*I58*(1+INDEX(I$30:I$35,MATCH("Инфляция "&amp;$D58,$C$30:$C$35,0)+1))*INDEX(Расчет!I$17:I$19,MATCH($D58&amp;"/RUB",$C$17:$C$19,0))),0)</f>
        <v>0</v>
      </c>
      <c r="J153" s="237">
        <f>IFERROR(IF($D58="RUB",$E58*J58*(1+J$29),$E58*J58*(1+INDEX(J$30:J$35,MATCH("Инфляция "&amp;$D58,$C$30:$C$35,0)+1))*INDEX(Расчет!J$17:J$19,MATCH($D58&amp;"/RUB",$C$17:$C$19,0))),0)</f>
        <v>0</v>
      </c>
      <c r="K153" s="237">
        <f>IFERROR(IF($D58="RUB",$E58*K58*(1+K$29),$E58*K58*(1+INDEX(K$30:K$35,MATCH("Инфляция "&amp;$D58,$C$30:$C$35,0)+1))*INDEX(Расчет!K$17:K$19,MATCH($D58&amp;"/RUB",$C$17:$C$19,0))),0)</f>
        <v>0</v>
      </c>
      <c r="L153" s="237">
        <f>IFERROR(IF($D58="RUB",$E58*L58*(1+L$29),$E58*L58*(1+INDEX(L$30:L$35,MATCH("Инфляция "&amp;$D58,$C$30:$C$35,0)+1))*INDEX(Расчет!L$17:L$19,MATCH($D58&amp;"/RUB",$C$17:$C$19,0))),0)</f>
        <v>0</v>
      </c>
      <c r="M153" s="237">
        <f>IFERROR(IF($D58="RUB",$E58*M58*(1+M$29),$E58*M58*(1+INDEX(M$30:M$35,MATCH("Инфляция "&amp;$D58,$C$30:$C$35,0)+1))*INDEX(Расчет!M$17:M$19,MATCH($D58&amp;"/RUB",$C$17:$C$19,0))),0)</f>
        <v>0</v>
      </c>
      <c r="N153" s="237">
        <f>IFERROR(IF($D58="RUB",$E58*N58*(1+N$29),$E58*N58*(1+INDEX(N$30:N$35,MATCH("Инфляция "&amp;$D58,$C$30:$C$35,0)+1))*INDEX(Расчет!N$17:N$19,MATCH($D58&amp;"/RUB",$C$17:$C$19,0))),0)</f>
        <v>0</v>
      </c>
      <c r="O153" s="237">
        <f>IFERROR(IF($D58="RUB",$E58*O58*(1+O$29),$E58*O58*(1+INDEX(O$30:O$35,MATCH("Инфляция "&amp;$D58,$C$30:$C$35,0)+1))*INDEX(Расчет!O$17:O$19,MATCH($D58&amp;"/RUB",$C$17:$C$19,0))),0)</f>
        <v>0</v>
      </c>
      <c r="P153" s="237">
        <f>IFERROR(IF($D58="RUB",$E58*P58*(1+P$29),$E58*P58*(1+INDEX(P$30:P$35,MATCH("Инфляция "&amp;$D58,$C$30:$C$35,0)+1))*INDEX(Расчет!P$17:P$19,MATCH($D58&amp;"/RUB",$C$17:$C$19,0))),0)</f>
        <v>0</v>
      </c>
      <c r="Q153" s="237">
        <f>IFERROR(IF($D58="RUB",$E58*Q58*(1+Q$29),$E58*Q58*(1+INDEX(Q$30:Q$35,MATCH("Инфляция "&amp;$D58,$C$30:$C$35,0)+1))*INDEX(Расчет!Q$17:Q$19,MATCH($D58&amp;"/RUB",$C$17:$C$19,0))),0)</f>
        <v>0</v>
      </c>
      <c r="R153" s="237">
        <f>IFERROR(IF($D58="RUB",$E58*R58*(1+R$29),$E58*R58*(1+INDEX(R$30:R$35,MATCH("Инфляция "&amp;$D58,$C$30:$C$35,0)+1))*INDEX(Расчет!R$17:R$19,MATCH($D58&amp;"/RUB",$C$17:$C$19,0))),0)</f>
        <v>0</v>
      </c>
      <c r="S153" s="237">
        <f>IFERROR(IF($D58="RUB",$E58*S58*(1+S$29),$E58*S58*(1+INDEX(S$30:S$35,MATCH("Инфляция "&amp;$D58,$C$30:$C$35,0)+1))*INDEX(Расчет!S$17:S$19,MATCH($D58&amp;"/RUB",$C$17:$C$19,0))),0)</f>
        <v>0</v>
      </c>
    </row>
    <row r="154" spans="1:19" s="2" customFormat="1" x14ac:dyDescent="0.25">
      <c r="A154" s="247"/>
      <c r="B154" s="247"/>
      <c r="C154" s="200" t="s">
        <v>137</v>
      </c>
      <c r="D154" s="194" t="s">
        <v>12</v>
      </c>
      <c r="E154" s="248">
        <f t="shared" si="66"/>
        <v>0</v>
      </c>
      <c r="F154" s="249">
        <f t="shared" si="67"/>
        <v>0</v>
      </c>
      <c r="G154" s="200"/>
      <c r="H154" s="237">
        <f>IFERROR(IF($D59="RUB",$E59*H59*(1+H$29),$E59*H59*(1+INDEX(H$30:H$35,MATCH("Инфляция "&amp;$D59,$C$30:$C$35,0)+1))*INDEX(Расчет!H$17:H$19,MATCH($D59&amp;"/RUB",$C$17:$C$19,0))),0)</f>
        <v>0</v>
      </c>
      <c r="I154" s="237">
        <f>IFERROR(IF($D59="RUB",$E59*I59*(1+I$29),$E59*I59*(1+INDEX(I$30:I$35,MATCH("Инфляция "&amp;$D59,$C$30:$C$35,0)+1))*INDEX(Расчет!I$17:I$19,MATCH($D59&amp;"/RUB",$C$17:$C$19,0))),0)</f>
        <v>0</v>
      </c>
      <c r="J154" s="237">
        <f>IFERROR(IF($D59="RUB",$E59*J59*(1+J$29),$E59*J59*(1+INDEX(J$30:J$35,MATCH("Инфляция "&amp;$D59,$C$30:$C$35,0)+1))*INDEX(Расчет!J$17:J$19,MATCH($D59&amp;"/RUB",$C$17:$C$19,0))),0)</f>
        <v>0</v>
      </c>
      <c r="K154" s="237">
        <f>IFERROR(IF($D59="RUB",$E59*K59*(1+K$29),$E59*K59*(1+INDEX(K$30:K$35,MATCH("Инфляция "&amp;$D59,$C$30:$C$35,0)+1))*INDEX(Расчет!K$17:K$19,MATCH($D59&amp;"/RUB",$C$17:$C$19,0))),0)</f>
        <v>0</v>
      </c>
      <c r="L154" s="237">
        <f>IFERROR(IF($D59="RUB",$E59*L59*(1+L$29),$E59*L59*(1+INDEX(L$30:L$35,MATCH("Инфляция "&amp;$D59,$C$30:$C$35,0)+1))*INDEX(Расчет!L$17:L$19,MATCH($D59&amp;"/RUB",$C$17:$C$19,0))),0)</f>
        <v>0</v>
      </c>
      <c r="M154" s="237">
        <f>IFERROR(IF($D59="RUB",$E59*M59*(1+M$29),$E59*M59*(1+INDEX(M$30:M$35,MATCH("Инфляция "&amp;$D59,$C$30:$C$35,0)+1))*INDEX(Расчет!M$17:M$19,MATCH($D59&amp;"/RUB",$C$17:$C$19,0))),0)</f>
        <v>0</v>
      </c>
      <c r="N154" s="237">
        <f>IFERROR(IF($D59="RUB",$E59*N59*(1+N$29),$E59*N59*(1+INDEX(N$30:N$35,MATCH("Инфляция "&amp;$D59,$C$30:$C$35,0)+1))*INDEX(Расчет!N$17:N$19,MATCH($D59&amp;"/RUB",$C$17:$C$19,0))),0)</f>
        <v>0</v>
      </c>
      <c r="O154" s="237">
        <f>IFERROR(IF($D59="RUB",$E59*O59*(1+O$29),$E59*O59*(1+INDEX(O$30:O$35,MATCH("Инфляция "&amp;$D59,$C$30:$C$35,0)+1))*INDEX(Расчет!O$17:O$19,MATCH($D59&amp;"/RUB",$C$17:$C$19,0))),0)</f>
        <v>0</v>
      </c>
      <c r="P154" s="237">
        <f>IFERROR(IF($D59="RUB",$E59*P59*(1+P$29),$E59*P59*(1+INDEX(P$30:P$35,MATCH("Инфляция "&amp;$D59,$C$30:$C$35,0)+1))*INDEX(Расчет!P$17:P$19,MATCH($D59&amp;"/RUB",$C$17:$C$19,0))),0)</f>
        <v>0</v>
      </c>
      <c r="Q154" s="237">
        <f>IFERROR(IF($D59="RUB",$E59*Q59*(1+Q$29),$E59*Q59*(1+INDEX(Q$30:Q$35,MATCH("Инфляция "&amp;$D59,$C$30:$C$35,0)+1))*INDEX(Расчет!Q$17:Q$19,MATCH($D59&amp;"/RUB",$C$17:$C$19,0))),0)</f>
        <v>0</v>
      </c>
      <c r="R154" s="237">
        <f>IFERROR(IF($D59="RUB",$E59*R59*(1+R$29),$E59*R59*(1+INDEX(R$30:R$35,MATCH("Инфляция "&amp;$D59,$C$30:$C$35,0)+1))*INDEX(Расчет!R$17:R$19,MATCH($D59&amp;"/RUB",$C$17:$C$19,0))),0)</f>
        <v>0</v>
      </c>
      <c r="S154" s="237">
        <f>IFERROR(IF($D59="RUB",$E59*S59*(1+S$29),$E59*S59*(1+INDEX(S$30:S$35,MATCH("Инфляция "&amp;$D59,$C$30:$C$35,0)+1))*INDEX(Расчет!S$17:S$19,MATCH($D59&amp;"/RUB",$C$17:$C$19,0))),0)</f>
        <v>0</v>
      </c>
    </row>
    <row r="155" spans="1:19" s="2" customFormat="1" x14ac:dyDescent="0.25">
      <c r="A155" s="247"/>
      <c r="B155" s="247"/>
      <c r="C155" s="200" t="s">
        <v>135</v>
      </c>
      <c r="D155" s="194" t="s">
        <v>12</v>
      </c>
      <c r="E155" s="248">
        <f t="shared" ca="1" si="66"/>
        <v>1744710.9751241764</v>
      </c>
      <c r="F155" s="249">
        <f t="shared" si="67"/>
        <v>0.2</v>
      </c>
      <c r="G155" s="200"/>
      <c r="H155" s="237">
        <f ca="1">IFERROR(IF($D60="RUB",$E60*H60*(1+H$29),$E60*H60*(1+INDEX(H$30:H$35,MATCH("Инфляция "&amp;$D60,$C$30:$C$35,0)+1))*INDEX(Расчет!H$17:H$19,MATCH($D60&amp;"/RUB",$C$17:$C$19,0))),0)</f>
        <v>0</v>
      </c>
      <c r="I155" s="237">
        <f ca="1">IFERROR(IF($D60="RUB",$E60*I60*(1+I$29),$E60*I60*(1+INDEX(I$30:I$35,MATCH("Инфляция "&amp;$D60,$C$30:$C$35,0)+1))*INDEX(Расчет!I$17:I$19,MATCH($D60&amp;"/RUB",$C$17:$C$19,0))),0)</f>
        <v>0</v>
      </c>
      <c r="J155" s="237">
        <f ca="1">IFERROR(IF($D60="RUB",$E60*J60*(1+J$29),$E60*J60*(1+INDEX(J$30:J$35,MATCH("Инфляция "&amp;$D60,$C$30:$C$35,0)+1))*INDEX(Расчет!J$17:J$19,MATCH($D60&amp;"/RUB",$C$17:$C$19,0))),0)</f>
        <v>0</v>
      </c>
      <c r="K155" s="237">
        <f ca="1">IFERROR(IF($D60="RUB",$E60*K60*(1+K$29),$E60*K60*(1+INDEX(K$30:K$35,MATCH("Инфляция "&amp;$D60,$C$30:$C$35,0)+1))*INDEX(Расчет!K$17:K$19,MATCH($D60&amp;"/RUB",$C$17:$C$19,0))),0)</f>
        <v>0</v>
      </c>
      <c r="L155" s="237">
        <f ca="1">IFERROR(IF($D60="RUB",$E60*L60*(1+L$29),$E60*L60*(1+INDEX(L$30:L$35,MATCH("Инфляция "&amp;$D60,$C$30:$C$35,0)+1))*INDEX(Расчет!L$17:L$19,MATCH($D60&amp;"/RUB",$C$17:$C$19,0))),0)</f>
        <v>0</v>
      </c>
      <c r="M155" s="237">
        <f ca="1">IFERROR(IF($D60="RUB",$E60*M60*(1+M$29),$E60*M60*(1+INDEX(M$30:M$35,MATCH("Инфляция "&amp;$D60,$C$30:$C$35,0)+1))*INDEX(Расчет!M$17:M$19,MATCH($D60&amp;"/RUB",$C$17:$C$19,0))),0)</f>
        <v>1744710.9751241764</v>
      </c>
      <c r="N155" s="237">
        <f ca="1">IFERROR(IF($D60="RUB",$E60*N60*(1+N$29),$E60*N60*(1+INDEX(N$30:N$35,MATCH("Инфляция "&amp;$D60,$C$30:$C$35,0)+1))*INDEX(Расчет!N$17:N$19,MATCH($D60&amp;"/RUB",$C$17:$C$19,0))),0)</f>
        <v>0</v>
      </c>
      <c r="O155" s="237">
        <f ca="1">IFERROR(IF($D60="RUB",$E60*O60*(1+O$29),$E60*O60*(1+INDEX(O$30:O$35,MATCH("Инфляция "&amp;$D60,$C$30:$C$35,0)+1))*INDEX(Расчет!O$17:O$19,MATCH($D60&amp;"/RUB",$C$17:$C$19,0))),0)</f>
        <v>0</v>
      </c>
      <c r="P155" s="237">
        <f ca="1">IFERROR(IF($D60="RUB",$E60*P60*(1+P$29),$E60*P60*(1+INDEX(P$30:P$35,MATCH("Инфляция "&amp;$D60,$C$30:$C$35,0)+1))*INDEX(Расчет!P$17:P$19,MATCH($D60&amp;"/RUB",$C$17:$C$19,0))),0)</f>
        <v>0</v>
      </c>
      <c r="Q155" s="237">
        <f ca="1">IFERROR(IF($D60="RUB",$E60*Q60*(1+Q$29),$E60*Q60*(1+INDEX(Q$30:Q$35,MATCH("Инфляция "&amp;$D60,$C$30:$C$35,0)+1))*INDEX(Расчет!Q$17:Q$19,MATCH($D60&amp;"/RUB",$C$17:$C$19,0))),0)</f>
        <v>0</v>
      </c>
      <c r="R155" s="237">
        <f ca="1">IFERROR(IF($D60="RUB",$E60*R60*(1+R$29),$E60*R60*(1+INDEX(R$30:R$35,MATCH("Инфляция "&amp;$D60,$C$30:$C$35,0)+1))*INDEX(Расчет!R$17:R$19,MATCH($D60&amp;"/RUB",$C$17:$C$19,0))),0)</f>
        <v>0</v>
      </c>
      <c r="S155" s="237">
        <f ca="1">IFERROR(IF($D60="RUB",$E60*S60*(1+S$29),$E60*S60*(1+INDEX(S$30:S$35,MATCH("Инфляция "&amp;$D60,$C$30:$C$35,0)+1))*INDEX(Расчет!S$17:S$19,MATCH($D60&amp;"/RUB",$C$17:$C$19,0))),0)</f>
        <v>0</v>
      </c>
    </row>
    <row r="156" spans="1:19" s="2" customFormat="1" x14ac:dyDescent="0.25">
      <c r="A156" s="247"/>
      <c r="B156" s="247"/>
      <c r="C156" s="200" t="s">
        <v>135</v>
      </c>
      <c r="D156" s="194" t="s">
        <v>12</v>
      </c>
      <c r="E156" s="248">
        <f t="shared" si="66"/>
        <v>0</v>
      </c>
      <c r="F156" s="249">
        <f t="shared" si="67"/>
        <v>0</v>
      </c>
      <c r="G156" s="200"/>
      <c r="H156" s="237">
        <f>IFERROR(IF($D61="RUB",$E61*H61*(1+H$29),$E61*H61*(1+INDEX(H$30:H$35,MATCH("Инфляция "&amp;$D61,$C$30:$C$35,0)+1))*INDEX(Расчет!H$17:H$19,MATCH($D61&amp;"/RUB",$C$17:$C$19,0))),0)</f>
        <v>0</v>
      </c>
      <c r="I156" s="237">
        <f>IFERROR(IF($D61="RUB",$E61*I61*(1+I$29),$E61*I61*(1+INDEX(I$30:I$35,MATCH("Инфляция "&amp;$D61,$C$30:$C$35,0)+1))*INDEX(Расчет!I$17:I$19,MATCH($D61&amp;"/RUB",$C$17:$C$19,0))),0)</f>
        <v>0</v>
      </c>
      <c r="J156" s="237">
        <f>IFERROR(IF($D61="RUB",$E61*J61*(1+J$29),$E61*J61*(1+INDEX(J$30:J$35,MATCH("Инфляция "&amp;$D61,$C$30:$C$35,0)+1))*INDEX(Расчет!J$17:J$19,MATCH($D61&amp;"/RUB",$C$17:$C$19,0))),0)</f>
        <v>0</v>
      </c>
      <c r="K156" s="237">
        <f>IFERROR(IF($D61="RUB",$E61*K61*(1+K$29),$E61*K61*(1+INDEX(K$30:K$35,MATCH("Инфляция "&amp;$D61,$C$30:$C$35,0)+1))*INDEX(Расчет!K$17:K$19,MATCH($D61&amp;"/RUB",$C$17:$C$19,0))),0)</f>
        <v>0</v>
      </c>
      <c r="L156" s="237">
        <f>IFERROR(IF($D61="RUB",$E61*L61*(1+L$29),$E61*L61*(1+INDEX(L$30:L$35,MATCH("Инфляция "&amp;$D61,$C$30:$C$35,0)+1))*INDEX(Расчет!L$17:L$19,MATCH($D61&amp;"/RUB",$C$17:$C$19,0))),0)</f>
        <v>0</v>
      </c>
      <c r="M156" s="237">
        <f>IFERROR(IF($D61="RUB",$E61*M61*(1+M$29),$E61*M61*(1+INDEX(M$30:M$35,MATCH("Инфляция "&amp;$D61,$C$30:$C$35,0)+1))*INDEX(Расчет!M$17:M$19,MATCH($D61&amp;"/RUB",$C$17:$C$19,0))),0)</f>
        <v>0</v>
      </c>
      <c r="N156" s="237">
        <f>IFERROR(IF($D61="RUB",$E61*N61*(1+N$29),$E61*N61*(1+INDEX(N$30:N$35,MATCH("Инфляция "&amp;$D61,$C$30:$C$35,0)+1))*INDEX(Расчет!N$17:N$19,MATCH($D61&amp;"/RUB",$C$17:$C$19,0))),0)</f>
        <v>0</v>
      </c>
      <c r="O156" s="237">
        <f>IFERROR(IF($D61="RUB",$E61*O61*(1+O$29),$E61*O61*(1+INDEX(O$30:O$35,MATCH("Инфляция "&amp;$D61,$C$30:$C$35,0)+1))*INDEX(Расчет!O$17:O$19,MATCH($D61&amp;"/RUB",$C$17:$C$19,0))),0)</f>
        <v>0</v>
      </c>
      <c r="P156" s="237">
        <f>IFERROR(IF($D61="RUB",$E61*P61*(1+P$29),$E61*P61*(1+INDEX(P$30:P$35,MATCH("Инфляция "&amp;$D61,$C$30:$C$35,0)+1))*INDEX(Расчет!P$17:P$19,MATCH($D61&amp;"/RUB",$C$17:$C$19,0))),0)</f>
        <v>0</v>
      </c>
      <c r="Q156" s="237">
        <f>IFERROR(IF($D61="RUB",$E61*Q61*(1+Q$29),$E61*Q61*(1+INDEX(Q$30:Q$35,MATCH("Инфляция "&amp;$D61,$C$30:$C$35,0)+1))*INDEX(Расчет!Q$17:Q$19,MATCH($D61&amp;"/RUB",$C$17:$C$19,0))),0)</f>
        <v>0</v>
      </c>
      <c r="R156" s="237">
        <f>IFERROR(IF($D61="RUB",$E61*R61*(1+R$29),$E61*R61*(1+INDEX(R$30:R$35,MATCH("Инфляция "&amp;$D61,$C$30:$C$35,0)+1))*INDEX(Расчет!R$17:R$19,MATCH($D61&amp;"/RUB",$C$17:$C$19,0))),0)</f>
        <v>0</v>
      </c>
      <c r="S156" s="237">
        <f>IFERROR(IF($D61="RUB",$E61*S61*(1+S$29),$E61*S61*(1+INDEX(S$30:S$35,MATCH("Инфляция "&amp;$D61,$C$30:$C$35,0)+1))*INDEX(Расчет!S$17:S$19,MATCH($D61&amp;"/RUB",$C$17:$C$19,0))),0)</f>
        <v>0</v>
      </c>
    </row>
    <row r="157" spans="1:19" s="2" customFormat="1" x14ac:dyDescent="0.25">
      <c r="A157" s="247"/>
      <c r="B157" s="247"/>
      <c r="C157" s="200" t="s">
        <v>135</v>
      </c>
      <c r="D157" s="194" t="s">
        <v>12</v>
      </c>
      <c r="E157" s="248">
        <f t="shared" si="66"/>
        <v>0</v>
      </c>
      <c r="F157" s="249">
        <f t="shared" si="67"/>
        <v>0</v>
      </c>
      <c r="G157" s="200"/>
      <c r="H157" s="237">
        <f>IFERROR(IF($D62="RUB",$E62*H62*(1+H$29),$E62*H62*(1+INDEX(H$30:H$35,MATCH("Инфляция "&amp;$D62,$C$30:$C$35,0)+1))*INDEX(Расчет!H$17:H$19,MATCH($D62&amp;"/RUB",$C$17:$C$19,0))),0)</f>
        <v>0</v>
      </c>
      <c r="I157" s="237">
        <f>IFERROR(IF($D62="RUB",$E62*I62*(1+I$29),$E62*I62*(1+INDEX(I$30:I$35,MATCH("Инфляция "&amp;$D62,$C$30:$C$35,0)+1))*INDEX(Расчет!I$17:I$19,MATCH($D62&amp;"/RUB",$C$17:$C$19,0))),0)</f>
        <v>0</v>
      </c>
      <c r="J157" s="237">
        <f>IFERROR(IF($D62="RUB",$E62*J62*(1+J$29),$E62*J62*(1+INDEX(J$30:J$35,MATCH("Инфляция "&amp;$D62,$C$30:$C$35,0)+1))*INDEX(Расчет!J$17:J$19,MATCH($D62&amp;"/RUB",$C$17:$C$19,0))),0)</f>
        <v>0</v>
      </c>
      <c r="K157" s="237">
        <f>IFERROR(IF($D62="RUB",$E62*K62*(1+K$29),$E62*K62*(1+INDEX(K$30:K$35,MATCH("Инфляция "&amp;$D62,$C$30:$C$35,0)+1))*INDEX(Расчет!K$17:K$19,MATCH($D62&amp;"/RUB",$C$17:$C$19,0))),0)</f>
        <v>0</v>
      </c>
      <c r="L157" s="237">
        <f>IFERROR(IF($D62="RUB",$E62*L62*(1+L$29),$E62*L62*(1+INDEX(L$30:L$35,MATCH("Инфляция "&amp;$D62,$C$30:$C$35,0)+1))*INDEX(Расчет!L$17:L$19,MATCH($D62&amp;"/RUB",$C$17:$C$19,0))),0)</f>
        <v>0</v>
      </c>
      <c r="M157" s="237">
        <f>IFERROR(IF($D62="RUB",$E62*M62*(1+M$29),$E62*M62*(1+INDEX(M$30:M$35,MATCH("Инфляция "&amp;$D62,$C$30:$C$35,0)+1))*INDEX(Расчет!M$17:M$19,MATCH($D62&amp;"/RUB",$C$17:$C$19,0))),0)</f>
        <v>0</v>
      </c>
      <c r="N157" s="237">
        <f>IFERROR(IF($D62="RUB",$E62*N62*(1+N$29),$E62*N62*(1+INDEX(N$30:N$35,MATCH("Инфляция "&amp;$D62,$C$30:$C$35,0)+1))*INDEX(Расчет!N$17:N$19,MATCH($D62&amp;"/RUB",$C$17:$C$19,0))),0)</f>
        <v>0</v>
      </c>
      <c r="O157" s="237">
        <f>IFERROR(IF($D62="RUB",$E62*O62*(1+O$29),$E62*O62*(1+INDEX(O$30:O$35,MATCH("Инфляция "&amp;$D62,$C$30:$C$35,0)+1))*INDEX(Расчет!O$17:O$19,MATCH($D62&amp;"/RUB",$C$17:$C$19,0))),0)</f>
        <v>0</v>
      </c>
      <c r="P157" s="237">
        <f>IFERROR(IF($D62="RUB",$E62*P62*(1+P$29),$E62*P62*(1+INDEX(P$30:P$35,MATCH("Инфляция "&amp;$D62,$C$30:$C$35,0)+1))*INDEX(Расчет!P$17:P$19,MATCH($D62&amp;"/RUB",$C$17:$C$19,0))),0)</f>
        <v>0</v>
      </c>
      <c r="Q157" s="237">
        <f>IFERROR(IF($D62="RUB",$E62*Q62*(1+Q$29),$E62*Q62*(1+INDEX(Q$30:Q$35,MATCH("Инфляция "&amp;$D62,$C$30:$C$35,0)+1))*INDEX(Расчет!Q$17:Q$19,MATCH($D62&amp;"/RUB",$C$17:$C$19,0))),0)</f>
        <v>0</v>
      </c>
      <c r="R157" s="237">
        <f>IFERROR(IF($D62="RUB",$E62*R62*(1+R$29),$E62*R62*(1+INDEX(R$30:R$35,MATCH("Инфляция "&amp;$D62,$C$30:$C$35,0)+1))*INDEX(Расчет!R$17:R$19,MATCH($D62&amp;"/RUB",$C$17:$C$19,0))),0)</f>
        <v>0</v>
      </c>
      <c r="S157" s="237">
        <f>IFERROR(IF($D62="RUB",$E62*S62*(1+S$29),$E62*S62*(1+INDEX(S$30:S$35,MATCH("Инфляция "&amp;$D62,$C$30:$C$35,0)+1))*INDEX(Расчет!S$17:S$19,MATCH($D62&amp;"/RUB",$C$17:$C$19,0))),0)</f>
        <v>0</v>
      </c>
    </row>
    <row r="158" spans="1:19" s="2" customFormat="1" x14ac:dyDescent="0.25">
      <c r="A158" s="247"/>
      <c r="B158" s="247"/>
      <c r="C158" s="200" t="s">
        <v>135</v>
      </c>
      <c r="D158" s="194" t="s">
        <v>12</v>
      </c>
      <c r="E158" s="248">
        <f t="shared" si="66"/>
        <v>0</v>
      </c>
      <c r="F158" s="249">
        <f t="shared" si="67"/>
        <v>0</v>
      </c>
      <c r="G158" s="200"/>
      <c r="H158" s="237">
        <f>IFERROR(IF($D63="RUB",$E63*H63*(1+H$29),$E63*H63*(1+INDEX(H$30:H$35,MATCH("Инфляция "&amp;$D63,$C$30:$C$35,0)+1))*INDEX(Расчет!H$17:H$19,MATCH($D63&amp;"/RUB",$C$17:$C$19,0))),0)</f>
        <v>0</v>
      </c>
      <c r="I158" s="237">
        <f>IFERROR(IF($D63="RUB",$E63*I63*(1+I$29),$E63*I63*(1+INDEX(I$30:I$35,MATCH("Инфляция "&amp;$D63,$C$30:$C$35,0)+1))*INDEX(Расчет!I$17:I$19,MATCH($D63&amp;"/RUB",$C$17:$C$19,0))),0)</f>
        <v>0</v>
      </c>
      <c r="J158" s="237">
        <f>IFERROR(IF($D63="RUB",$E63*J63*(1+J$29),$E63*J63*(1+INDEX(J$30:J$35,MATCH("Инфляция "&amp;$D63,$C$30:$C$35,0)+1))*INDEX(Расчет!J$17:J$19,MATCH($D63&amp;"/RUB",$C$17:$C$19,0))),0)</f>
        <v>0</v>
      </c>
      <c r="K158" s="237">
        <f>IFERROR(IF($D63="RUB",$E63*K63*(1+K$29),$E63*K63*(1+INDEX(K$30:K$35,MATCH("Инфляция "&amp;$D63,$C$30:$C$35,0)+1))*INDEX(Расчет!K$17:K$19,MATCH($D63&amp;"/RUB",$C$17:$C$19,0))),0)</f>
        <v>0</v>
      </c>
      <c r="L158" s="237">
        <f>IFERROR(IF($D63="RUB",$E63*L63*(1+L$29),$E63*L63*(1+INDEX(L$30:L$35,MATCH("Инфляция "&amp;$D63,$C$30:$C$35,0)+1))*INDEX(Расчет!L$17:L$19,MATCH($D63&amp;"/RUB",$C$17:$C$19,0))),0)</f>
        <v>0</v>
      </c>
      <c r="M158" s="237">
        <f>IFERROR(IF($D63="RUB",$E63*M63*(1+M$29),$E63*M63*(1+INDEX(M$30:M$35,MATCH("Инфляция "&amp;$D63,$C$30:$C$35,0)+1))*INDEX(Расчет!M$17:M$19,MATCH($D63&amp;"/RUB",$C$17:$C$19,0))),0)</f>
        <v>0</v>
      </c>
      <c r="N158" s="237">
        <f>IFERROR(IF($D63="RUB",$E63*N63*(1+N$29),$E63*N63*(1+INDEX(N$30:N$35,MATCH("Инфляция "&amp;$D63,$C$30:$C$35,0)+1))*INDEX(Расчет!N$17:N$19,MATCH($D63&amp;"/RUB",$C$17:$C$19,0))),0)</f>
        <v>0</v>
      </c>
      <c r="O158" s="237">
        <f>IFERROR(IF($D63="RUB",$E63*O63*(1+O$29),$E63*O63*(1+INDEX(O$30:O$35,MATCH("Инфляция "&amp;$D63,$C$30:$C$35,0)+1))*INDEX(Расчет!O$17:O$19,MATCH($D63&amp;"/RUB",$C$17:$C$19,0))),0)</f>
        <v>0</v>
      </c>
      <c r="P158" s="237">
        <f>IFERROR(IF($D63="RUB",$E63*P63*(1+P$29),$E63*P63*(1+INDEX(P$30:P$35,MATCH("Инфляция "&amp;$D63,$C$30:$C$35,0)+1))*INDEX(Расчет!P$17:P$19,MATCH($D63&amp;"/RUB",$C$17:$C$19,0))),0)</f>
        <v>0</v>
      </c>
      <c r="Q158" s="237">
        <f>IFERROR(IF($D63="RUB",$E63*Q63*(1+Q$29),$E63*Q63*(1+INDEX(Q$30:Q$35,MATCH("Инфляция "&amp;$D63,$C$30:$C$35,0)+1))*INDEX(Расчет!Q$17:Q$19,MATCH($D63&amp;"/RUB",$C$17:$C$19,0))),0)</f>
        <v>0</v>
      </c>
      <c r="R158" s="237">
        <f>IFERROR(IF($D63="RUB",$E63*R63*(1+R$29),$E63*R63*(1+INDEX(R$30:R$35,MATCH("Инфляция "&amp;$D63,$C$30:$C$35,0)+1))*INDEX(Расчет!R$17:R$19,MATCH($D63&amp;"/RUB",$C$17:$C$19,0))),0)</f>
        <v>0</v>
      </c>
      <c r="S158" s="237">
        <f>IFERROR(IF($D63="RUB",$E63*S63*(1+S$29),$E63*S63*(1+INDEX(S$30:S$35,MATCH("Инфляция "&amp;$D63,$C$30:$C$35,0)+1))*INDEX(Расчет!S$17:S$19,MATCH($D63&amp;"/RUB",$C$17:$C$19,0))),0)</f>
        <v>0</v>
      </c>
    </row>
    <row r="159" spans="1:19" s="2" customFormat="1" ht="16.5" x14ac:dyDescent="0.3">
      <c r="A159" s="247"/>
      <c r="B159" s="247"/>
      <c r="C159" s="200" t="s">
        <v>136</v>
      </c>
      <c r="D159" s="194" t="s">
        <v>12</v>
      </c>
      <c r="E159" s="248">
        <f t="shared" ca="1" si="66"/>
        <v>0</v>
      </c>
      <c r="F159" s="249">
        <f t="shared" si="67"/>
        <v>0</v>
      </c>
      <c r="G159" s="250"/>
      <c r="H159" s="237">
        <f ca="1">IFERROR(IF($D64="RUB",$E64*H64*(1+H$29),$E64*H64*(1+INDEX(H$30:H$35,MATCH("Инфляция "&amp;$D64,$C$30:$C$35,0)+1))*INDEX(Расчет!H$17:H$19,MATCH($D64&amp;"/RUB",$C$17:$C$19,0))),0)</f>
        <v>0</v>
      </c>
      <c r="I159" s="237">
        <f ca="1">IFERROR(IF($D64="RUB",$E64*I64*(1+I$29),$E64*I64*(1+INDEX(I$30:I$35,MATCH("Инфляция "&amp;$D64,$C$30:$C$35,0)+1))*INDEX(Расчет!I$17:I$19,MATCH($D64&amp;"/RUB",$C$17:$C$19,0))),0)</f>
        <v>0</v>
      </c>
      <c r="J159" s="237">
        <f ca="1">IFERROR(IF($D64="RUB",$E64*J64*(1+J$29),$E64*J64*(1+INDEX(J$30:J$35,MATCH("Инфляция "&amp;$D64,$C$30:$C$35,0)+1))*INDEX(Расчет!J$17:J$19,MATCH($D64&amp;"/RUB",$C$17:$C$19,0))),0)</f>
        <v>0</v>
      </c>
      <c r="K159" s="237">
        <f ca="1">IFERROR(IF($D64="RUB",$E64*K64*(1+K$29),$E64*K64*(1+INDEX(K$30:K$35,MATCH("Инфляция "&amp;$D64,$C$30:$C$35,0)+1))*INDEX(Расчет!K$17:K$19,MATCH($D64&amp;"/RUB",$C$17:$C$19,0))),0)</f>
        <v>0</v>
      </c>
      <c r="L159" s="237">
        <f ca="1">IFERROR(IF($D64="RUB",$E64*L64*(1+L$29),$E64*L64*(1+INDEX(L$30:L$35,MATCH("Инфляция "&amp;$D64,$C$30:$C$35,0)+1))*INDEX(Расчет!L$17:L$19,MATCH($D64&amp;"/RUB",$C$17:$C$19,0))),0)</f>
        <v>0</v>
      </c>
      <c r="M159" s="237">
        <f ca="1">IFERROR(IF($D64="RUB",$E64*M64*(1+M$29),$E64*M64*(1+INDEX(M$30:M$35,MATCH("Инфляция "&amp;$D64,$C$30:$C$35,0)+1))*INDEX(Расчет!M$17:M$19,MATCH($D64&amp;"/RUB",$C$17:$C$19,0))),0)</f>
        <v>0</v>
      </c>
      <c r="N159" s="237">
        <f ca="1">IFERROR(IF($D64="RUB",$E64*N64*(1+N$29),$E64*N64*(1+INDEX(N$30:N$35,MATCH("Инфляция "&amp;$D64,$C$30:$C$35,0)+1))*INDEX(Расчет!N$17:N$19,MATCH($D64&amp;"/RUB",$C$17:$C$19,0))),0)</f>
        <v>0</v>
      </c>
      <c r="O159" s="237">
        <f ca="1">IFERROR(IF($D64="RUB",$E64*O64*(1+O$29),$E64*O64*(1+INDEX(O$30:O$35,MATCH("Инфляция "&amp;$D64,$C$30:$C$35,0)+1))*INDEX(Расчет!O$17:O$19,MATCH($D64&amp;"/RUB",$C$17:$C$19,0))),0)</f>
        <v>0</v>
      </c>
      <c r="P159" s="237">
        <f ca="1">IFERROR(IF($D64="RUB",$E64*P64*(1+P$29),$E64*P64*(1+INDEX(P$30:P$35,MATCH("Инфляция "&amp;$D64,$C$30:$C$35,0)+1))*INDEX(Расчет!P$17:P$19,MATCH($D64&amp;"/RUB",$C$17:$C$19,0))),0)</f>
        <v>0</v>
      </c>
      <c r="Q159" s="237">
        <f ca="1">IFERROR(IF($D64="RUB",$E64*Q64*(1+Q$29),$E64*Q64*(1+INDEX(Q$30:Q$35,MATCH("Инфляция "&amp;$D64,$C$30:$C$35,0)+1))*INDEX(Расчет!Q$17:Q$19,MATCH($D64&amp;"/RUB",$C$17:$C$19,0))),0)</f>
        <v>0</v>
      </c>
      <c r="R159" s="237">
        <f ca="1">IFERROR(IF($D64="RUB",$E64*R64*(1+R$29),$E64*R64*(1+INDEX(R$30:R$35,MATCH("Инфляция "&amp;$D64,$C$30:$C$35,0)+1))*INDEX(Расчет!R$17:R$19,MATCH($D64&amp;"/RUB",$C$17:$C$19,0))),0)</f>
        <v>0</v>
      </c>
      <c r="S159" s="237">
        <f ca="1">IFERROR(IF($D64="RUB",$E64*S64*(1+S$29),$E64*S64*(1+INDEX(S$30:S$35,MATCH("Инфляция "&amp;$D64,$C$30:$C$35,0)+1))*INDEX(Расчет!S$17:S$19,MATCH($D64&amp;"/RUB",$C$17:$C$19,0))),0)</f>
        <v>0</v>
      </c>
    </row>
    <row r="160" spans="1:19" s="2" customFormat="1" ht="16.5" x14ac:dyDescent="0.3">
      <c r="A160" s="247"/>
      <c r="B160" s="247"/>
      <c r="C160" s="200" t="s">
        <v>136</v>
      </c>
      <c r="D160" s="194" t="s">
        <v>12</v>
      </c>
      <c r="E160" s="248">
        <f t="shared" si="66"/>
        <v>0</v>
      </c>
      <c r="F160" s="249">
        <f t="shared" si="67"/>
        <v>0</v>
      </c>
      <c r="G160" s="250"/>
      <c r="H160" s="237">
        <f>IFERROR(IF($D65="RUB",$E65*H65*(1+H$29),$E65*H65*(1+INDEX(H$30:H$35,MATCH("Инфляция "&amp;$D65,$C$30:$C$35,0)+1))*INDEX(Расчет!H$17:H$19,MATCH($D65&amp;"/RUB",$C$17:$C$19,0))),0)</f>
        <v>0</v>
      </c>
      <c r="I160" s="237">
        <f>IFERROR(IF($D65="RUB",$E65*I65*(1+I$29),$E65*I65*(1+INDEX(I$30:I$35,MATCH("Инфляция "&amp;$D65,$C$30:$C$35,0)+1))*INDEX(Расчет!I$17:I$19,MATCH($D65&amp;"/RUB",$C$17:$C$19,0))),0)</f>
        <v>0</v>
      </c>
      <c r="J160" s="237">
        <f>IFERROR(IF($D65="RUB",$E65*J65*(1+J$29),$E65*J65*(1+INDEX(J$30:J$35,MATCH("Инфляция "&amp;$D65,$C$30:$C$35,0)+1))*INDEX(Расчет!J$17:J$19,MATCH($D65&amp;"/RUB",$C$17:$C$19,0))),0)</f>
        <v>0</v>
      </c>
      <c r="K160" s="237">
        <f>IFERROR(IF($D65="RUB",$E65*K65*(1+K$29),$E65*K65*(1+INDEX(K$30:K$35,MATCH("Инфляция "&amp;$D65,$C$30:$C$35,0)+1))*INDEX(Расчет!K$17:K$19,MATCH($D65&amp;"/RUB",$C$17:$C$19,0))),0)</f>
        <v>0</v>
      </c>
      <c r="L160" s="237">
        <f>IFERROR(IF($D65="RUB",$E65*L65*(1+L$29),$E65*L65*(1+INDEX(L$30:L$35,MATCH("Инфляция "&amp;$D65,$C$30:$C$35,0)+1))*INDEX(Расчет!L$17:L$19,MATCH($D65&amp;"/RUB",$C$17:$C$19,0))),0)</f>
        <v>0</v>
      </c>
      <c r="M160" s="237">
        <f>IFERROR(IF($D65="RUB",$E65*M65*(1+M$29),$E65*M65*(1+INDEX(M$30:M$35,MATCH("Инфляция "&amp;$D65,$C$30:$C$35,0)+1))*INDEX(Расчет!M$17:M$19,MATCH($D65&amp;"/RUB",$C$17:$C$19,0))),0)</f>
        <v>0</v>
      </c>
      <c r="N160" s="237">
        <f>IFERROR(IF($D65="RUB",$E65*N65*(1+N$29),$E65*N65*(1+INDEX(N$30:N$35,MATCH("Инфляция "&amp;$D65,$C$30:$C$35,0)+1))*INDEX(Расчет!N$17:N$19,MATCH($D65&amp;"/RUB",$C$17:$C$19,0))),0)</f>
        <v>0</v>
      </c>
      <c r="O160" s="237">
        <f>IFERROR(IF($D65="RUB",$E65*O65*(1+O$29),$E65*O65*(1+INDEX(O$30:O$35,MATCH("Инфляция "&amp;$D65,$C$30:$C$35,0)+1))*INDEX(Расчет!O$17:O$19,MATCH($D65&amp;"/RUB",$C$17:$C$19,0))),0)</f>
        <v>0</v>
      </c>
      <c r="P160" s="237">
        <f>IFERROR(IF($D65="RUB",$E65*P65*(1+P$29),$E65*P65*(1+INDEX(P$30:P$35,MATCH("Инфляция "&amp;$D65,$C$30:$C$35,0)+1))*INDEX(Расчет!P$17:P$19,MATCH($D65&amp;"/RUB",$C$17:$C$19,0))),0)</f>
        <v>0</v>
      </c>
      <c r="Q160" s="237">
        <f>IFERROR(IF($D65="RUB",$E65*Q65*(1+Q$29),$E65*Q65*(1+INDEX(Q$30:Q$35,MATCH("Инфляция "&amp;$D65,$C$30:$C$35,0)+1))*INDEX(Расчет!Q$17:Q$19,MATCH($D65&amp;"/RUB",$C$17:$C$19,0))),0)</f>
        <v>0</v>
      </c>
      <c r="R160" s="237">
        <f>IFERROR(IF($D65="RUB",$E65*R65*(1+R$29),$E65*R65*(1+INDEX(R$30:R$35,MATCH("Инфляция "&amp;$D65,$C$30:$C$35,0)+1))*INDEX(Расчет!R$17:R$19,MATCH($D65&amp;"/RUB",$C$17:$C$19,0))),0)</f>
        <v>0</v>
      </c>
      <c r="S160" s="237">
        <f>IFERROR(IF($D65="RUB",$E65*S65*(1+S$29),$E65*S65*(1+INDEX(S$30:S$35,MATCH("Инфляция "&amp;$D65,$C$30:$C$35,0)+1))*INDEX(Расчет!S$17:S$19,MATCH($D65&amp;"/RUB",$C$17:$C$19,0))),0)</f>
        <v>0</v>
      </c>
    </row>
    <row r="161" spans="1:19" s="2" customFormat="1" ht="16.5" x14ac:dyDescent="0.3">
      <c r="A161" s="247"/>
      <c r="B161" s="247"/>
      <c r="C161" s="200" t="s">
        <v>136</v>
      </c>
      <c r="D161" s="194" t="s">
        <v>12</v>
      </c>
      <c r="E161" s="248">
        <f t="shared" si="66"/>
        <v>0</v>
      </c>
      <c r="F161" s="249">
        <f t="shared" si="67"/>
        <v>0</v>
      </c>
      <c r="G161" s="250"/>
      <c r="H161" s="237">
        <f>IFERROR(IF($D66="RUB",$E66*H66*(1+H$29),$E66*H66*(1+INDEX(H$30:H$35,MATCH("Инфляция "&amp;$D66,$C$30:$C$35,0)+1))*INDEX(Расчет!H$17:H$19,MATCH($D66&amp;"/RUB",$C$17:$C$19,0))),0)</f>
        <v>0</v>
      </c>
      <c r="I161" s="237">
        <f>IFERROR(IF($D66="RUB",$E66*I66*(1+I$29),$E66*I66*(1+INDEX(I$30:I$35,MATCH("Инфляция "&amp;$D66,$C$30:$C$35,0)+1))*INDEX(Расчет!I$17:I$19,MATCH($D66&amp;"/RUB",$C$17:$C$19,0))),0)</f>
        <v>0</v>
      </c>
      <c r="J161" s="237">
        <f>IFERROR(IF($D66="RUB",$E66*J66*(1+J$29),$E66*J66*(1+INDEX(J$30:J$35,MATCH("Инфляция "&amp;$D66,$C$30:$C$35,0)+1))*INDEX(Расчет!J$17:J$19,MATCH($D66&amp;"/RUB",$C$17:$C$19,0))),0)</f>
        <v>0</v>
      </c>
      <c r="K161" s="237">
        <f>IFERROR(IF($D66="RUB",$E66*K66*(1+K$29),$E66*K66*(1+INDEX(K$30:K$35,MATCH("Инфляция "&amp;$D66,$C$30:$C$35,0)+1))*INDEX(Расчет!K$17:K$19,MATCH($D66&amp;"/RUB",$C$17:$C$19,0))),0)</f>
        <v>0</v>
      </c>
      <c r="L161" s="237">
        <f>IFERROR(IF($D66="RUB",$E66*L66*(1+L$29),$E66*L66*(1+INDEX(L$30:L$35,MATCH("Инфляция "&amp;$D66,$C$30:$C$35,0)+1))*INDEX(Расчет!L$17:L$19,MATCH($D66&amp;"/RUB",$C$17:$C$19,0))),0)</f>
        <v>0</v>
      </c>
      <c r="M161" s="237">
        <f>IFERROR(IF($D66="RUB",$E66*M66*(1+M$29),$E66*M66*(1+INDEX(M$30:M$35,MATCH("Инфляция "&amp;$D66,$C$30:$C$35,0)+1))*INDEX(Расчет!M$17:M$19,MATCH($D66&amp;"/RUB",$C$17:$C$19,0))),0)</f>
        <v>0</v>
      </c>
      <c r="N161" s="237">
        <f>IFERROR(IF($D66="RUB",$E66*N66*(1+N$29),$E66*N66*(1+INDEX(N$30:N$35,MATCH("Инфляция "&amp;$D66,$C$30:$C$35,0)+1))*INDEX(Расчет!N$17:N$19,MATCH($D66&amp;"/RUB",$C$17:$C$19,0))),0)</f>
        <v>0</v>
      </c>
      <c r="O161" s="237">
        <f>IFERROR(IF($D66="RUB",$E66*O66*(1+O$29),$E66*O66*(1+INDEX(O$30:O$35,MATCH("Инфляция "&amp;$D66,$C$30:$C$35,0)+1))*INDEX(Расчет!O$17:O$19,MATCH($D66&amp;"/RUB",$C$17:$C$19,0))),0)</f>
        <v>0</v>
      </c>
      <c r="P161" s="237">
        <f>IFERROR(IF($D66="RUB",$E66*P66*(1+P$29),$E66*P66*(1+INDEX(P$30:P$35,MATCH("Инфляция "&amp;$D66,$C$30:$C$35,0)+1))*INDEX(Расчет!P$17:P$19,MATCH($D66&amp;"/RUB",$C$17:$C$19,0))),0)</f>
        <v>0</v>
      </c>
      <c r="Q161" s="237">
        <f>IFERROR(IF($D66="RUB",$E66*Q66*(1+Q$29),$E66*Q66*(1+INDEX(Q$30:Q$35,MATCH("Инфляция "&amp;$D66,$C$30:$C$35,0)+1))*INDEX(Расчет!Q$17:Q$19,MATCH($D66&amp;"/RUB",$C$17:$C$19,0))),0)</f>
        <v>0</v>
      </c>
      <c r="R161" s="237">
        <f>IFERROR(IF($D66="RUB",$E66*R66*(1+R$29),$E66*R66*(1+INDEX(R$30:R$35,MATCH("Инфляция "&amp;$D66,$C$30:$C$35,0)+1))*INDEX(Расчет!R$17:R$19,MATCH($D66&amp;"/RUB",$C$17:$C$19,0))),0)</f>
        <v>0</v>
      </c>
      <c r="S161" s="237">
        <f>IFERROR(IF($D66="RUB",$E66*S66*(1+S$29),$E66*S66*(1+INDEX(S$30:S$35,MATCH("Инфляция "&amp;$D66,$C$30:$C$35,0)+1))*INDEX(Расчет!S$17:S$19,MATCH($D66&amp;"/RUB",$C$17:$C$19,0))),0)</f>
        <v>0</v>
      </c>
    </row>
    <row r="162" spans="1:19" s="2" customFormat="1" ht="16.5" x14ac:dyDescent="0.3">
      <c r="A162" s="247"/>
      <c r="B162" s="247"/>
      <c r="C162" s="200" t="s">
        <v>136</v>
      </c>
      <c r="D162" s="194" t="s">
        <v>12</v>
      </c>
      <c r="E162" s="248">
        <f t="shared" si="66"/>
        <v>3041742.8704978274</v>
      </c>
      <c r="F162" s="249">
        <f t="shared" si="67"/>
        <v>0.13</v>
      </c>
      <c r="G162" s="250"/>
      <c r="H162" s="237">
        <f>IFERROR(IF($D67="RUB",$E67*H67*(1+H$29),$E67*H67*(1+INDEX(H$30:H$35,MATCH("Инфляция "&amp;$D67,$C$30:$C$35,0)+1))*INDEX(Расчет!H$17:H$19,MATCH($D67&amp;"/RUB",$C$17:$C$19,0))),0)</f>
        <v>0</v>
      </c>
      <c r="I162" s="237">
        <f>IFERROR(IF($D67="RUB",$E67*I67*(1+I$29),$E67*I67*(1+INDEX(I$30:I$35,MATCH("Инфляция "&amp;$D67,$C$30:$C$35,0)+1))*INDEX(Расчет!I$17:I$19,MATCH($D67&amp;"/RUB",$C$17:$C$19,0))),0)</f>
        <v>0</v>
      </c>
      <c r="J162" s="237">
        <f>IFERROR(IF($D67="RUB",$E67*J67*(1+J$29),$E67*J67*(1+INDEX(J$30:J$35,MATCH("Инфляция "&amp;$D67,$C$30:$C$35,0)+1))*INDEX(Расчет!J$17:J$19,MATCH($D67&amp;"/RUB",$C$17:$C$19,0))),0)</f>
        <v>0</v>
      </c>
      <c r="K162" s="237">
        <f>IFERROR(IF($D67="RUB",$E67*K67*(1+K$29),$E67*K67*(1+INDEX(K$30:K$35,MATCH("Инфляция "&amp;$D67,$C$30:$C$35,0)+1))*INDEX(Расчет!K$17:K$19,MATCH($D67&amp;"/RUB",$C$17:$C$19,0))),0)</f>
        <v>1011127.3461853944</v>
      </c>
      <c r="L162" s="237">
        <f>IFERROR(IF($D67="RUB",$E67*L67*(1+L$29),$E67*L67*(1+INDEX(L$30:L$35,MATCH("Инфляция "&amp;$D67,$C$30:$C$35,0)+1))*INDEX(Расчет!L$17:L$19,MATCH($D67&amp;"/RUB",$C$17:$C$19,0))),0)</f>
        <v>0</v>
      </c>
      <c r="M162" s="237">
        <f>IFERROR(IF($D67="RUB",$E67*M67*(1+M$29),$E67*M67*(1+INDEX(M$30:M$35,MATCH("Инфляция "&amp;$D67,$C$30:$C$35,0)+1))*INDEX(Расчет!M$17:M$19,MATCH($D67&amp;"/RUB",$C$17:$C$19,0))),0)</f>
        <v>1014470.022296125</v>
      </c>
      <c r="N162" s="237">
        <f>IFERROR(IF($D67="RUB",$E67*N67*(1+N$29),$E67*N67*(1+INDEX(N$30:N$35,MATCH("Инфляция "&amp;$D67,$C$30:$C$35,0)+1))*INDEX(Расчет!N$17:N$19,MATCH($D67&amp;"/RUB",$C$17:$C$19,0))),0)</f>
        <v>1016145.5020163078</v>
      </c>
      <c r="O162" s="237">
        <f>IFERROR(IF($D67="RUB",$E67*O67*(1+O$29),$E67*O67*(1+INDEX(O$30:O$35,MATCH("Инфляция "&amp;$D67,$C$30:$C$35,0)+1))*INDEX(Расчет!O$17:O$19,MATCH($D67&amp;"/RUB",$C$17:$C$19,0))),0)</f>
        <v>0</v>
      </c>
      <c r="P162" s="237">
        <f>IFERROR(IF($D67="RUB",$E67*P67*(1+P$29),$E67*P67*(1+INDEX(P$30:P$35,MATCH("Инфляция "&amp;$D67,$C$30:$C$35,0)+1))*INDEX(Расчет!P$17:P$19,MATCH($D67&amp;"/RUB",$C$17:$C$19,0))),0)</f>
        <v>0</v>
      </c>
      <c r="Q162" s="237">
        <f>IFERROR(IF($D67="RUB",$E67*Q67*(1+Q$29),$E67*Q67*(1+INDEX(Q$30:Q$35,MATCH("Инфляция "&amp;$D67,$C$30:$C$35,0)+1))*INDEX(Расчет!Q$17:Q$19,MATCH($D67&amp;"/RUB",$C$17:$C$19,0))),0)</f>
        <v>0</v>
      </c>
      <c r="R162" s="237">
        <f>IFERROR(IF($D67="RUB",$E67*R67*(1+R$29),$E67*R67*(1+INDEX(R$30:R$35,MATCH("Инфляция "&amp;$D67,$C$30:$C$35,0)+1))*INDEX(Расчет!R$17:R$19,MATCH($D67&amp;"/RUB",$C$17:$C$19,0))),0)</f>
        <v>0</v>
      </c>
      <c r="S162" s="237">
        <f>IFERROR(IF($D67="RUB",$E67*S67*(1+S$29),$E67*S67*(1+INDEX(S$30:S$35,MATCH("Инфляция "&amp;$D67,$C$30:$C$35,0)+1))*INDEX(Расчет!S$17:S$19,MATCH($D67&amp;"/RUB",$C$17:$C$19,0))),0)</f>
        <v>0</v>
      </c>
    </row>
    <row r="163" spans="1:19" s="2" customFormat="1" ht="16.5" x14ac:dyDescent="0.3">
      <c r="A163" s="238"/>
      <c r="B163" s="238"/>
      <c r="C163" s="200" t="s">
        <v>152</v>
      </c>
      <c r="D163" s="242" t="s">
        <v>12</v>
      </c>
      <c r="E163" s="237">
        <f t="shared" ca="1" si="66"/>
        <v>518045.12767100497</v>
      </c>
      <c r="F163" s="243">
        <f t="shared" si="67"/>
        <v>0</v>
      </c>
      <c r="G163" s="251"/>
      <c r="H163" s="237">
        <f ca="1">IFERROR(IF($D68="RUB",$E68*H68*(1+H$29),$E68*H68*(1+INDEX(H$30:H$35,MATCH("Инфляция "&amp;$D68,$C$30:$C$35,0)+1))*INDEX(Расчет!H$17:H$19,MATCH($D68&amp;"/RUB",$C$17:$C$19,0))),0)</f>
        <v>0</v>
      </c>
      <c r="I163" s="237">
        <f ca="1">IFERROR(IF($D68="RUB",$E68*I68*(1+I$29),$E68*I68*(1+INDEX(I$30:I$35,MATCH("Инфляция "&amp;$D68,$C$30:$C$35,0)+1))*INDEX(Расчет!I$17:I$19,MATCH($D68&amp;"/RUB",$C$17:$C$19,0))),0)</f>
        <v>0</v>
      </c>
      <c r="J163" s="237">
        <f ca="1">IFERROR(IF($D68="RUB",$E68*J68*(1+J$29),$E68*J68*(1+INDEX(J$30:J$35,MATCH("Инфляция "&amp;$D68,$C$30:$C$35,0)+1))*INDEX(Расчет!J$17:J$19,MATCH($D68&amp;"/RUB",$C$17:$C$19,0))),0)</f>
        <v>0</v>
      </c>
      <c r="K163" s="237">
        <f ca="1">IFERROR(IF($D68="RUB",$E68*K68*(1+K$29),$E68*K68*(1+INDEX(K$30:K$35,MATCH("Инфляция "&amp;$D68,$C$30:$C$35,0)+1))*INDEX(Расчет!K$17:K$19,MATCH($D68&amp;"/RUB",$C$17:$C$19,0))),0)</f>
        <v>0</v>
      </c>
      <c r="L163" s="237">
        <f ca="1">IFERROR(IF($D68="RUB",$E68*L68*(1+L$29),$E68*L68*(1+INDEX(L$30:L$35,MATCH("Инфляция "&amp;$D68,$C$30:$C$35,0)+1))*INDEX(Расчет!L$17:L$19,MATCH($D68&amp;"/RUB",$C$17:$C$19,0))),0)</f>
        <v>0</v>
      </c>
      <c r="M163" s="237">
        <f ca="1">IFERROR(IF($D68="RUB",$E68*M68*(1+M$29),$E68*M68*(1+INDEX(M$30:M$35,MATCH("Инфляция "&amp;$D68,$C$30:$C$35,0)+1))*INDEX(Расчет!M$17:M$19,MATCH($D68&amp;"/RUB",$C$17:$C$19,0))),0)</f>
        <v>258475.70001839648</v>
      </c>
      <c r="N163" s="237">
        <f ca="1">IFERROR(IF($D68="RUB",$E68*N68*(1+N$29),$E68*N68*(1+INDEX(N$30:N$35,MATCH("Инфляция "&amp;$D68,$C$30:$C$35,0)+1))*INDEX(Расчет!N$17:N$19,MATCH($D68&amp;"/RUB",$C$17:$C$19,0))),0)</f>
        <v>259569.42765260849</v>
      </c>
      <c r="O163" s="237">
        <f ca="1">IFERROR(IF($D68="RUB",$E68*O68*(1+O$29),$E68*O68*(1+INDEX(O$30:O$35,MATCH("Инфляция "&amp;$D68,$C$30:$C$35,0)+1))*INDEX(Расчет!O$17:O$19,MATCH($D68&amp;"/RUB",$C$17:$C$19,0))),0)</f>
        <v>0</v>
      </c>
      <c r="P163" s="237">
        <f ca="1">IFERROR(IF($D68="RUB",$E68*P68*(1+P$29),$E68*P68*(1+INDEX(P$30:P$35,MATCH("Инфляция "&amp;$D68,$C$30:$C$35,0)+1))*INDEX(Расчет!P$17:P$19,MATCH($D68&amp;"/RUB",$C$17:$C$19,0))),0)</f>
        <v>0</v>
      </c>
      <c r="Q163" s="237">
        <f ca="1">IFERROR(IF($D68="RUB",$E68*Q68*(1+Q$29),$E68*Q68*(1+INDEX(Q$30:Q$35,MATCH("Инфляция "&amp;$D68,$C$30:$C$35,0)+1))*INDEX(Расчет!Q$17:Q$19,MATCH($D68&amp;"/RUB",$C$17:$C$19,0))),0)</f>
        <v>0</v>
      </c>
      <c r="R163" s="237">
        <f ca="1">IFERROR(IF($D68="RUB",$E68*R68*(1+R$29),$E68*R68*(1+INDEX(R$30:R$35,MATCH("Инфляция "&amp;$D68,$C$30:$C$35,0)+1))*INDEX(Расчет!R$17:R$19,MATCH($D68&amp;"/RUB",$C$17:$C$19,0))),0)</f>
        <v>0</v>
      </c>
      <c r="S163" s="237">
        <f ca="1">IFERROR(IF($D68="RUB",$E68*S68*(1+S$29),$E68*S68*(1+INDEX(S$30:S$35,MATCH("Инфляция "&amp;$D68,$C$30:$C$35,0)+1))*INDEX(Расчет!S$17:S$19,MATCH($D68&amp;"/RUB",$C$17:$C$19,0))),0)</f>
        <v>0</v>
      </c>
    </row>
    <row r="164" spans="1:19" s="2" customFormat="1" ht="16.5" x14ac:dyDescent="0.3">
      <c r="A164" s="238"/>
      <c r="B164" s="238"/>
      <c r="C164" s="200" t="s">
        <v>152</v>
      </c>
      <c r="D164" s="242" t="s">
        <v>12</v>
      </c>
      <c r="E164" s="237">
        <f t="shared" si="66"/>
        <v>0</v>
      </c>
      <c r="F164" s="243">
        <f t="shared" si="67"/>
        <v>0</v>
      </c>
      <c r="G164" s="251"/>
      <c r="H164" s="237">
        <f>IFERROR(IF($D69="RUB",$E69*H69*(1+H$29),$E69*H69*(1+INDEX(H$30:H$35,MATCH("Инфляция "&amp;$D69,$C$30:$C$35,0)+1))*INDEX(Расчет!H$17:H$19,MATCH($D69&amp;"/RUB",$C$17:$C$19,0))),0)</f>
        <v>0</v>
      </c>
      <c r="I164" s="237">
        <f>IFERROR(IF($D69="RUB",$E69*I69*(1+I$29),$E69*I69*(1+INDEX(I$30:I$35,MATCH("Инфляция "&amp;$D69,$C$30:$C$35,0)+1))*INDEX(Расчет!I$17:I$19,MATCH($D69&amp;"/RUB",$C$17:$C$19,0))),0)</f>
        <v>0</v>
      </c>
      <c r="J164" s="237">
        <f>IFERROR(IF($D69="RUB",$E69*J69*(1+J$29),$E69*J69*(1+INDEX(J$30:J$35,MATCH("Инфляция "&amp;$D69,$C$30:$C$35,0)+1))*INDEX(Расчет!J$17:J$19,MATCH($D69&amp;"/RUB",$C$17:$C$19,0))),0)</f>
        <v>0</v>
      </c>
      <c r="K164" s="237">
        <f>IFERROR(IF($D69="RUB",$E69*K69*(1+K$29),$E69*K69*(1+INDEX(K$30:K$35,MATCH("Инфляция "&amp;$D69,$C$30:$C$35,0)+1))*INDEX(Расчет!K$17:K$19,MATCH($D69&amp;"/RUB",$C$17:$C$19,0))),0)</f>
        <v>0</v>
      </c>
      <c r="L164" s="237">
        <f>IFERROR(IF($D69="RUB",$E69*L69*(1+L$29),$E69*L69*(1+INDEX(L$30:L$35,MATCH("Инфляция "&amp;$D69,$C$30:$C$35,0)+1))*INDEX(Расчет!L$17:L$19,MATCH($D69&amp;"/RUB",$C$17:$C$19,0))),0)</f>
        <v>0</v>
      </c>
      <c r="M164" s="237">
        <f>IFERROR(IF($D69="RUB",$E69*M69*(1+M$29),$E69*M69*(1+INDEX(M$30:M$35,MATCH("Инфляция "&amp;$D69,$C$30:$C$35,0)+1))*INDEX(Расчет!M$17:M$19,MATCH($D69&amp;"/RUB",$C$17:$C$19,0))),0)</f>
        <v>0</v>
      </c>
      <c r="N164" s="237">
        <f>IFERROR(IF($D69="RUB",$E69*N69*(1+N$29),$E69*N69*(1+INDEX(N$30:N$35,MATCH("Инфляция "&amp;$D69,$C$30:$C$35,0)+1))*INDEX(Расчет!N$17:N$19,MATCH($D69&amp;"/RUB",$C$17:$C$19,0))),0)</f>
        <v>0</v>
      </c>
      <c r="O164" s="237">
        <f>IFERROR(IF($D69="RUB",$E69*O69*(1+O$29),$E69*O69*(1+INDEX(O$30:O$35,MATCH("Инфляция "&amp;$D69,$C$30:$C$35,0)+1))*INDEX(Расчет!O$17:O$19,MATCH($D69&amp;"/RUB",$C$17:$C$19,0))),0)</f>
        <v>0</v>
      </c>
      <c r="P164" s="237">
        <f>IFERROR(IF($D69="RUB",$E69*P69*(1+P$29),$E69*P69*(1+INDEX(P$30:P$35,MATCH("Инфляция "&amp;$D69,$C$30:$C$35,0)+1))*INDEX(Расчет!P$17:P$19,MATCH($D69&amp;"/RUB",$C$17:$C$19,0))),0)</f>
        <v>0</v>
      </c>
      <c r="Q164" s="237">
        <f>IFERROR(IF($D69="RUB",$E69*Q69*(1+Q$29),$E69*Q69*(1+INDEX(Q$30:Q$35,MATCH("Инфляция "&amp;$D69,$C$30:$C$35,0)+1))*INDEX(Расчет!Q$17:Q$19,MATCH($D69&amp;"/RUB",$C$17:$C$19,0))),0)</f>
        <v>0</v>
      </c>
      <c r="R164" s="237">
        <f>IFERROR(IF($D69="RUB",$E69*R69*(1+R$29),$E69*R69*(1+INDEX(R$30:R$35,MATCH("Инфляция "&amp;$D69,$C$30:$C$35,0)+1))*INDEX(Расчет!R$17:R$19,MATCH($D69&amp;"/RUB",$C$17:$C$19,0))),0)</f>
        <v>0</v>
      </c>
      <c r="S164" s="237">
        <f>IFERROR(IF($D69="RUB",$E69*S69*(1+S$29),$E69*S69*(1+INDEX(S$30:S$35,MATCH("Инфляция "&amp;$D69,$C$30:$C$35,0)+1))*INDEX(Расчет!S$17:S$19,MATCH($D69&amp;"/RUB",$C$17:$C$19,0))),0)</f>
        <v>0</v>
      </c>
    </row>
    <row r="165" spans="1:19" s="2" customFormat="1" ht="16.5" x14ac:dyDescent="0.3">
      <c r="A165" s="238"/>
      <c r="B165" s="238"/>
      <c r="C165" s="200" t="s">
        <v>152</v>
      </c>
      <c r="D165" s="242" t="s">
        <v>12</v>
      </c>
      <c r="E165" s="237">
        <f t="shared" si="66"/>
        <v>0</v>
      </c>
      <c r="F165" s="243">
        <f t="shared" si="67"/>
        <v>0</v>
      </c>
      <c r="G165" s="251"/>
      <c r="H165" s="237">
        <f>IFERROR(IF($D70="RUB",$E70*H70*(1+H$29),$E70*H70*(1+INDEX(H$30:H$35,MATCH("Инфляция "&amp;$D70,$C$30:$C$35,0)+1))*INDEX(Расчет!H$17:H$19,MATCH($D70&amp;"/RUB",$C$17:$C$19,0))),0)</f>
        <v>0</v>
      </c>
      <c r="I165" s="237">
        <f>IFERROR(IF($D70="RUB",$E70*I70*(1+I$29),$E70*I70*(1+INDEX(I$30:I$35,MATCH("Инфляция "&amp;$D70,$C$30:$C$35,0)+1))*INDEX(Расчет!I$17:I$19,MATCH($D70&amp;"/RUB",$C$17:$C$19,0))),0)</f>
        <v>0</v>
      </c>
      <c r="J165" s="237">
        <f>IFERROR(IF($D70="RUB",$E70*J70*(1+J$29),$E70*J70*(1+INDEX(J$30:J$35,MATCH("Инфляция "&amp;$D70,$C$30:$C$35,0)+1))*INDEX(Расчет!J$17:J$19,MATCH($D70&amp;"/RUB",$C$17:$C$19,0))),0)</f>
        <v>0</v>
      </c>
      <c r="K165" s="237">
        <f>IFERROR(IF($D70="RUB",$E70*K70*(1+K$29),$E70*K70*(1+INDEX(K$30:K$35,MATCH("Инфляция "&amp;$D70,$C$30:$C$35,0)+1))*INDEX(Расчет!K$17:K$19,MATCH($D70&amp;"/RUB",$C$17:$C$19,0))),0)</f>
        <v>0</v>
      </c>
      <c r="L165" s="237">
        <f>IFERROR(IF($D70="RUB",$E70*L70*(1+L$29),$E70*L70*(1+INDEX(L$30:L$35,MATCH("Инфляция "&amp;$D70,$C$30:$C$35,0)+1))*INDEX(Расчет!L$17:L$19,MATCH($D70&amp;"/RUB",$C$17:$C$19,0))),0)</f>
        <v>0</v>
      </c>
      <c r="M165" s="237">
        <f>IFERROR(IF($D70="RUB",$E70*M70*(1+M$29),$E70*M70*(1+INDEX(M$30:M$35,MATCH("Инфляция "&amp;$D70,$C$30:$C$35,0)+1))*INDEX(Расчет!M$17:M$19,MATCH($D70&amp;"/RUB",$C$17:$C$19,0))),0)</f>
        <v>0</v>
      </c>
      <c r="N165" s="237">
        <f>IFERROR(IF($D70="RUB",$E70*N70*(1+N$29),$E70*N70*(1+INDEX(N$30:N$35,MATCH("Инфляция "&amp;$D70,$C$30:$C$35,0)+1))*INDEX(Расчет!N$17:N$19,MATCH($D70&amp;"/RUB",$C$17:$C$19,0))),0)</f>
        <v>0</v>
      </c>
      <c r="O165" s="237">
        <f>IFERROR(IF($D70="RUB",$E70*O70*(1+O$29),$E70*O70*(1+INDEX(O$30:O$35,MATCH("Инфляция "&amp;$D70,$C$30:$C$35,0)+1))*INDEX(Расчет!O$17:O$19,MATCH($D70&amp;"/RUB",$C$17:$C$19,0))),0)</f>
        <v>0</v>
      </c>
      <c r="P165" s="237">
        <f>IFERROR(IF($D70="RUB",$E70*P70*(1+P$29),$E70*P70*(1+INDEX(P$30:P$35,MATCH("Инфляция "&amp;$D70,$C$30:$C$35,0)+1))*INDEX(Расчет!P$17:P$19,MATCH($D70&amp;"/RUB",$C$17:$C$19,0))),0)</f>
        <v>0</v>
      </c>
      <c r="Q165" s="237">
        <f>IFERROR(IF($D70="RUB",$E70*Q70*(1+Q$29),$E70*Q70*(1+INDEX(Q$30:Q$35,MATCH("Инфляция "&amp;$D70,$C$30:$C$35,0)+1))*INDEX(Расчет!Q$17:Q$19,MATCH($D70&amp;"/RUB",$C$17:$C$19,0))),0)</f>
        <v>0</v>
      </c>
      <c r="R165" s="237">
        <f>IFERROR(IF($D70="RUB",$E70*R70*(1+R$29),$E70*R70*(1+INDEX(R$30:R$35,MATCH("Инфляция "&amp;$D70,$C$30:$C$35,0)+1))*INDEX(Расчет!R$17:R$19,MATCH($D70&amp;"/RUB",$C$17:$C$19,0))),0)</f>
        <v>0</v>
      </c>
      <c r="S165" s="237">
        <f>IFERROR(IF($D70="RUB",$E70*S70*(1+S$29),$E70*S70*(1+INDEX(S$30:S$35,MATCH("Инфляция "&amp;$D70,$C$30:$C$35,0)+1))*INDEX(Расчет!S$17:S$19,MATCH($D70&amp;"/RUB",$C$17:$C$19,0))),0)</f>
        <v>0</v>
      </c>
    </row>
    <row r="166" spans="1:19" s="2" customFormat="1" ht="16.5" x14ac:dyDescent="0.3">
      <c r="A166" s="238"/>
      <c r="B166" s="238"/>
      <c r="C166" s="200" t="s">
        <v>152</v>
      </c>
      <c r="D166" s="242" t="s">
        <v>12</v>
      </c>
      <c r="E166" s="237">
        <f t="shared" si="66"/>
        <v>0</v>
      </c>
      <c r="F166" s="243">
        <f t="shared" si="67"/>
        <v>0</v>
      </c>
      <c r="G166" s="251"/>
      <c r="H166" s="237">
        <f>IFERROR(IF($D71="RUB",$E71*H71*(1+H$29),$E71*H71*(1+INDEX(H$30:H$35,MATCH("Инфляция "&amp;$D71,$C$30:$C$35,0)+1))*INDEX(Расчет!H$17:H$19,MATCH($D71&amp;"/RUB",$C$17:$C$19,0))),0)</f>
        <v>0</v>
      </c>
      <c r="I166" s="237">
        <f>IFERROR(IF($D71="RUB",$E71*I71*(1+I$29),$E71*I71*(1+INDEX(I$30:I$35,MATCH("Инфляция "&amp;$D71,$C$30:$C$35,0)+1))*INDEX(Расчет!I$17:I$19,MATCH($D71&amp;"/RUB",$C$17:$C$19,0))),0)</f>
        <v>0</v>
      </c>
      <c r="J166" s="237">
        <f>IFERROR(IF($D71="RUB",$E71*J71*(1+J$29),$E71*J71*(1+INDEX(J$30:J$35,MATCH("Инфляция "&amp;$D71,$C$30:$C$35,0)+1))*INDEX(Расчет!J$17:J$19,MATCH($D71&amp;"/RUB",$C$17:$C$19,0))),0)</f>
        <v>0</v>
      </c>
      <c r="K166" s="237">
        <f>IFERROR(IF($D71="RUB",$E71*K71*(1+K$29),$E71*K71*(1+INDEX(K$30:K$35,MATCH("Инфляция "&amp;$D71,$C$30:$C$35,0)+1))*INDEX(Расчет!K$17:K$19,MATCH($D71&amp;"/RUB",$C$17:$C$19,0))),0)</f>
        <v>0</v>
      </c>
      <c r="L166" s="237">
        <f>IFERROR(IF($D71="RUB",$E71*L71*(1+L$29),$E71*L71*(1+INDEX(L$30:L$35,MATCH("Инфляция "&amp;$D71,$C$30:$C$35,0)+1))*INDEX(Расчет!L$17:L$19,MATCH($D71&amp;"/RUB",$C$17:$C$19,0))),0)</f>
        <v>0</v>
      </c>
      <c r="M166" s="237">
        <f>IFERROR(IF($D71="RUB",$E71*M71*(1+M$29),$E71*M71*(1+INDEX(M$30:M$35,MATCH("Инфляция "&amp;$D71,$C$30:$C$35,0)+1))*INDEX(Расчет!M$17:M$19,MATCH($D71&amp;"/RUB",$C$17:$C$19,0))),0)</f>
        <v>0</v>
      </c>
      <c r="N166" s="237">
        <f>IFERROR(IF($D71="RUB",$E71*N71*(1+N$29),$E71*N71*(1+INDEX(N$30:N$35,MATCH("Инфляция "&amp;$D71,$C$30:$C$35,0)+1))*INDEX(Расчет!N$17:N$19,MATCH($D71&amp;"/RUB",$C$17:$C$19,0))),0)</f>
        <v>0</v>
      </c>
      <c r="O166" s="237">
        <f>IFERROR(IF($D71="RUB",$E71*O71*(1+O$29),$E71*O71*(1+INDEX(O$30:O$35,MATCH("Инфляция "&amp;$D71,$C$30:$C$35,0)+1))*INDEX(Расчет!O$17:O$19,MATCH($D71&amp;"/RUB",$C$17:$C$19,0))),0)</f>
        <v>0</v>
      </c>
      <c r="P166" s="237">
        <f>IFERROR(IF($D71="RUB",$E71*P71*(1+P$29),$E71*P71*(1+INDEX(P$30:P$35,MATCH("Инфляция "&amp;$D71,$C$30:$C$35,0)+1))*INDEX(Расчет!P$17:P$19,MATCH($D71&amp;"/RUB",$C$17:$C$19,0))),0)</f>
        <v>0</v>
      </c>
      <c r="Q166" s="237">
        <f>IFERROR(IF($D71="RUB",$E71*Q71*(1+Q$29),$E71*Q71*(1+INDEX(Q$30:Q$35,MATCH("Инфляция "&amp;$D71,$C$30:$C$35,0)+1))*INDEX(Расчет!Q$17:Q$19,MATCH($D71&amp;"/RUB",$C$17:$C$19,0))),0)</f>
        <v>0</v>
      </c>
      <c r="R166" s="237">
        <f>IFERROR(IF($D71="RUB",$E71*R71*(1+R$29),$E71*R71*(1+INDEX(R$30:R$35,MATCH("Инфляция "&amp;$D71,$C$30:$C$35,0)+1))*INDEX(Расчет!R$17:R$19,MATCH($D71&amp;"/RUB",$C$17:$C$19,0))),0)</f>
        <v>0</v>
      </c>
      <c r="S166" s="237">
        <f>IFERROR(IF($D71="RUB",$E71*S71*(1+S$29),$E71*S71*(1+INDEX(S$30:S$35,MATCH("Инфляция "&amp;$D71,$C$30:$C$35,0)+1))*INDEX(Расчет!S$17:S$19,MATCH($D71&amp;"/RUB",$C$17:$C$19,0))),0)</f>
        <v>0</v>
      </c>
    </row>
    <row r="167" spans="1:19" s="2" customFormat="1" ht="16.5" x14ac:dyDescent="0.3">
      <c r="A167" s="238"/>
      <c r="B167" s="238"/>
      <c r="C167" s="200" t="s">
        <v>19</v>
      </c>
      <c r="D167" s="242" t="s">
        <v>12</v>
      </c>
      <c r="E167" s="237">
        <f t="shared" ref="E167:E198" ca="1" si="68">SUM(H167:S167)</f>
        <v>3983150.7266054149</v>
      </c>
      <c r="F167" s="243">
        <f t="shared" ref="F167:F198" si="69">F72</f>
        <v>2.8571428571428571E-2</v>
      </c>
      <c r="G167" s="251"/>
      <c r="H167" s="237">
        <f ca="1">IFERROR(IF($D72="RUB",$E72*H72*(1+H$29),$E72*H72*(1+INDEX(H$30:H$35,MATCH("Инфляция "&amp;$D72,$C$30:$C$35,0)+1))*INDEX(Расчет!H$17:H$19,MATCH($D72&amp;"/RUB",$C$17:$C$19,0))),0)</f>
        <v>0</v>
      </c>
      <c r="I167" s="237">
        <f ca="1">IFERROR(IF($D72="RUB",$E72*I72*(1+I$29),$E72*I72*(1+INDEX(I$30:I$35,MATCH("Инфляция "&amp;$D72,$C$30:$C$35,0)+1))*INDEX(Расчет!I$17:I$19,MATCH($D72&amp;"/RUB",$C$17:$C$19,0))),0)</f>
        <v>0</v>
      </c>
      <c r="J167" s="237">
        <f ca="1">IFERROR(IF($D72="RUB",$E72*J72*(1+J$29),$E72*J72*(1+INDEX(J$30:J$35,MATCH("Инфляция "&amp;$D72,$C$30:$C$35,0)+1))*INDEX(Расчет!J$17:J$19,MATCH($D72&amp;"/RUB",$C$17:$C$19,0))),0)</f>
        <v>0</v>
      </c>
      <c r="K167" s="237">
        <f ca="1">IFERROR(IF($D72="RUB",$E72*K72*(1+K$29),$E72*K72*(1+INDEX(K$30:K$35,MATCH("Инфляция "&amp;$D72,$C$30:$C$35,0)+1))*INDEX(Расчет!K$17:K$19,MATCH($D72&amp;"/RUB",$C$17:$C$19,0))),0)</f>
        <v>0</v>
      </c>
      <c r="L167" s="237">
        <f ca="1">IFERROR(IF($D72="RUB",$E72*L72*(1+L$29),$E72*L72*(1+INDEX(L$30:L$35,MATCH("Инфляция "&amp;$D72,$C$30:$C$35,0)+1))*INDEX(Расчет!L$17:L$19,MATCH($D72&amp;"/RUB",$C$17:$C$19,0))),0)</f>
        <v>0</v>
      </c>
      <c r="M167" s="237">
        <f ca="1">IFERROR(IF($D72="RUB",$E72*M72*(1+M$29),$E72*M72*(1+INDEX(M$30:M$35,MATCH("Инфляция "&amp;$D72,$C$30:$C$35,0)+1))*INDEX(Расчет!M$17:M$19,MATCH($D72&amp;"/RUB",$C$17:$C$19,0))),0)</f>
        <v>3360184.1002391544</v>
      </c>
      <c r="N167" s="237">
        <f ca="1">IFERROR(IF($D72="RUB",$E72*N72*(1+N$29),$E72*N72*(1+INDEX(N$30:N$35,MATCH("Инфляция "&amp;$D72,$C$30:$C$35,0)+1))*INDEX(Расчет!N$17:N$19,MATCH($D72&amp;"/RUB",$C$17:$C$19,0))),0)</f>
        <v>622966.62636626035</v>
      </c>
      <c r="O167" s="237">
        <f ca="1">IFERROR(IF($D72="RUB",$E72*O72*(1+O$29),$E72*O72*(1+INDEX(O$30:O$35,MATCH("Инфляция "&amp;$D72,$C$30:$C$35,0)+1))*INDEX(Расчет!O$17:O$19,MATCH($D72&amp;"/RUB",$C$17:$C$19,0))),0)</f>
        <v>0</v>
      </c>
      <c r="P167" s="237">
        <f ca="1">IFERROR(IF($D72="RUB",$E72*P72*(1+P$29),$E72*P72*(1+INDEX(P$30:P$35,MATCH("Инфляция "&amp;$D72,$C$30:$C$35,0)+1))*INDEX(Расчет!P$17:P$19,MATCH($D72&amp;"/RUB",$C$17:$C$19,0))),0)</f>
        <v>0</v>
      </c>
      <c r="Q167" s="237">
        <f ca="1">IFERROR(IF($D72="RUB",$E72*Q72*(1+Q$29),$E72*Q72*(1+INDEX(Q$30:Q$35,MATCH("Инфляция "&amp;$D72,$C$30:$C$35,0)+1))*INDEX(Расчет!Q$17:Q$19,MATCH($D72&amp;"/RUB",$C$17:$C$19,0))),0)</f>
        <v>0</v>
      </c>
      <c r="R167" s="237">
        <f ca="1">IFERROR(IF($D72="RUB",$E72*R72*(1+R$29),$E72*R72*(1+INDEX(R$30:R$35,MATCH("Инфляция "&amp;$D72,$C$30:$C$35,0)+1))*INDEX(Расчет!R$17:R$19,MATCH($D72&amp;"/RUB",$C$17:$C$19,0))),0)</f>
        <v>0</v>
      </c>
      <c r="S167" s="237">
        <f ca="1">IFERROR(IF($D72="RUB",$E72*S72*(1+S$29),$E72*S72*(1+INDEX(S$30:S$35,MATCH("Инфляция "&amp;$D72,$C$30:$C$35,0)+1))*INDEX(Расчет!S$17:S$19,MATCH($D72&amp;"/RUB",$C$17:$C$19,0))),0)</f>
        <v>0</v>
      </c>
    </row>
    <row r="168" spans="1:19" s="2" customFormat="1" ht="16.5" x14ac:dyDescent="0.3">
      <c r="A168" s="238"/>
      <c r="B168" s="238"/>
      <c r="C168" s="200" t="s">
        <v>19</v>
      </c>
      <c r="D168" s="242" t="s">
        <v>12</v>
      </c>
      <c r="E168" s="237">
        <f t="shared" si="68"/>
        <v>0</v>
      </c>
      <c r="F168" s="243">
        <f t="shared" si="69"/>
        <v>0</v>
      </c>
      <c r="G168" s="251"/>
      <c r="H168" s="237">
        <f>IFERROR(IF($D73="RUB",$E73*H73*(1+H$29),$E73*H73*(1+INDEX(H$30:H$35,MATCH("Инфляция "&amp;$D73,$C$30:$C$35,0)+1))*INDEX(Расчет!H$17:H$19,MATCH($D73&amp;"/RUB",$C$17:$C$19,0))),0)</f>
        <v>0</v>
      </c>
      <c r="I168" s="237">
        <f>IFERROR(IF($D73="RUB",$E73*I73*(1+I$29),$E73*I73*(1+INDEX(I$30:I$35,MATCH("Инфляция "&amp;$D73,$C$30:$C$35,0)+1))*INDEX(Расчет!I$17:I$19,MATCH($D73&amp;"/RUB",$C$17:$C$19,0))),0)</f>
        <v>0</v>
      </c>
      <c r="J168" s="237">
        <f>IFERROR(IF($D73="RUB",$E73*J73*(1+J$29),$E73*J73*(1+INDEX(J$30:J$35,MATCH("Инфляция "&amp;$D73,$C$30:$C$35,0)+1))*INDEX(Расчет!J$17:J$19,MATCH($D73&amp;"/RUB",$C$17:$C$19,0))),0)</f>
        <v>0</v>
      </c>
      <c r="K168" s="237">
        <f>IFERROR(IF($D73="RUB",$E73*K73*(1+K$29),$E73*K73*(1+INDEX(K$30:K$35,MATCH("Инфляция "&amp;$D73,$C$30:$C$35,0)+1))*INDEX(Расчет!K$17:K$19,MATCH($D73&amp;"/RUB",$C$17:$C$19,0))),0)</f>
        <v>0</v>
      </c>
      <c r="L168" s="237">
        <f>IFERROR(IF($D73="RUB",$E73*L73*(1+L$29),$E73*L73*(1+INDEX(L$30:L$35,MATCH("Инфляция "&amp;$D73,$C$30:$C$35,0)+1))*INDEX(Расчет!L$17:L$19,MATCH($D73&amp;"/RUB",$C$17:$C$19,0))),0)</f>
        <v>0</v>
      </c>
      <c r="M168" s="237">
        <f>IFERROR(IF($D73="RUB",$E73*M73*(1+M$29),$E73*M73*(1+INDEX(M$30:M$35,MATCH("Инфляция "&amp;$D73,$C$30:$C$35,0)+1))*INDEX(Расчет!M$17:M$19,MATCH($D73&amp;"/RUB",$C$17:$C$19,0))),0)</f>
        <v>0</v>
      </c>
      <c r="N168" s="237">
        <f>IFERROR(IF($D73="RUB",$E73*N73*(1+N$29),$E73*N73*(1+INDEX(N$30:N$35,MATCH("Инфляция "&amp;$D73,$C$30:$C$35,0)+1))*INDEX(Расчет!N$17:N$19,MATCH($D73&amp;"/RUB",$C$17:$C$19,0))),0)</f>
        <v>0</v>
      </c>
      <c r="O168" s="237">
        <f>IFERROR(IF($D73="RUB",$E73*O73*(1+O$29),$E73*O73*(1+INDEX(O$30:O$35,MATCH("Инфляция "&amp;$D73,$C$30:$C$35,0)+1))*INDEX(Расчет!O$17:O$19,MATCH($D73&amp;"/RUB",$C$17:$C$19,0))),0)</f>
        <v>0</v>
      </c>
      <c r="P168" s="237">
        <f>IFERROR(IF($D73="RUB",$E73*P73*(1+P$29),$E73*P73*(1+INDEX(P$30:P$35,MATCH("Инфляция "&amp;$D73,$C$30:$C$35,0)+1))*INDEX(Расчет!P$17:P$19,MATCH($D73&amp;"/RUB",$C$17:$C$19,0))),0)</f>
        <v>0</v>
      </c>
      <c r="Q168" s="237">
        <f>IFERROR(IF($D73="RUB",$E73*Q73*(1+Q$29),$E73*Q73*(1+INDEX(Q$30:Q$35,MATCH("Инфляция "&amp;$D73,$C$30:$C$35,0)+1))*INDEX(Расчет!Q$17:Q$19,MATCH($D73&amp;"/RUB",$C$17:$C$19,0))),0)</f>
        <v>0</v>
      </c>
      <c r="R168" s="237">
        <f>IFERROR(IF($D73="RUB",$E73*R73*(1+R$29),$E73*R73*(1+INDEX(R$30:R$35,MATCH("Инфляция "&amp;$D73,$C$30:$C$35,0)+1))*INDEX(Расчет!R$17:R$19,MATCH($D73&amp;"/RUB",$C$17:$C$19,0))),0)</f>
        <v>0</v>
      </c>
      <c r="S168" s="237">
        <f>IFERROR(IF($D73="RUB",$E73*S73*(1+S$29),$E73*S73*(1+INDEX(S$30:S$35,MATCH("Инфляция "&amp;$D73,$C$30:$C$35,0)+1))*INDEX(Расчет!S$17:S$19,MATCH($D73&amp;"/RUB",$C$17:$C$19,0))),0)</f>
        <v>0</v>
      </c>
    </row>
    <row r="169" spans="1:19" s="2" customFormat="1" ht="16.5" x14ac:dyDescent="0.3">
      <c r="A169" s="238"/>
      <c r="B169" s="238"/>
      <c r="C169" s="200" t="s">
        <v>19</v>
      </c>
      <c r="D169" s="242" t="s">
        <v>12</v>
      </c>
      <c r="E169" s="237">
        <f t="shared" si="68"/>
        <v>0</v>
      </c>
      <c r="F169" s="243">
        <f t="shared" si="69"/>
        <v>0</v>
      </c>
      <c r="G169" s="251"/>
      <c r="H169" s="237">
        <f>IFERROR(IF($D74="RUB",$E74*H74*(1+H$29),$E74*H74*(1+INDEX(H$30:H$35,MATCH("Инфляция "&amp;$D74,$C$30:$C$35,0)+1))*INDEX(Расчет!H$17:H$19,MATCH($D74&amp;"/RUB",$C$17:$C$19,0))),0)</f>
        <v>0</v>
      </c>
      <c r="I169" s="237">
        <f>IFERROR(IF($D74="RUB",$E74*I74*(1+I$29),$E74*I74*(1+INDEX(I$30:I$35,MATCH("Инфляция "&amp;$D74,$C$30:$C$35,0)+1))*INDEX(Расчет!I$17:I$19,MATCH($D74&amp;"/RUB",$C$17:$C$19,0))),0)</f>
        <v>0</v>
      </c>
      <c r="J169" s="237">
        <f>IFERROR(IF($D74="RUB",$E74*J74*(1+J$29),$E74*J74*(1+INDEX(J$30:J$35,MATCH("Инфляция "&amp;$D74,$C$30:$C$35,0)+1))*INDEX(Расчет!J$17:J$19,MATCH($D74&amp;"/RUB",$C$17:$C$19,0))),0)</f>
        <v>0</v>
      </c>
      <c r="K169" s="237">
        <f>IFERROR(IF($D74="RUB",$E74*K74*(1+K$29),$E74*K74*(1+INDEX(K$30:K$35,MATCH("Инфляция "&amp;$D74,$C$30:$C$35,0)+1))*INDEX(Расчет!K$17:K$19,MATCH($D74&amp;"/RUB",$C$17:$C$19,0))),0)</f>
        <v>0</v>
      </c>
      <c r="L169" s="237">
        <f>IFERROR(IF($D74="RUB",$E74*L74*(1+L$29),$E74*L74*(1+INDEX(L$30:L$35,MATCH("Инфляция "&amp;$D74,$C$30:$C$35,0)+1))*INDEX(Расчет!L$17:L$19,MATCH($D74&amp;"/RUB",$C$17:$C$19,0))),0)</f>
        <v>0</v>
      </c>
      <c r="M169" s="237">
        <f>IFERROR(IF($D74="RUB",$E74*M74*(1+M$29),$E74*M74*(1+INDEX(M$30:M$35,MATCH("Инфляция "&amp;$D74,$C$30:$C$35,0)+1))*INDEX(Расчет!M$17:M$19,MATCH($D74&amp;"/RUB",$C$17:$C$19,0))),0)</f>
        <v>0</v>
      </c>
      <c r="N169" s="237">
        <f>IFERROR(IF($D74="RUB",$E74*N74*(1+N$29),$E74*N74*(1+INDEX(N$30:N$35,MATCH("Инфляция "&amp;$D74,$C$30:$C$35,0)+1))*INDEX(Расчет!N$17:N$19,MATCH($D74&amp;"/RUB",$C$17:$C$19,0))),0)</f>
        <v>0</v>
      </c>
      <c r="O169" s="237">
        <f>IFERROR(IF($D74="RUB",$E74*O74*(1+O$29),$E74*O74*(1+INDEX(O$30:O$35,MATCH("Инфляция "&amp;$D74,$C$30:$C$35,0)+1))*INDEX(Расчет!O$17:O$19,MATCH($D74&amp;"/RUB",$C$17:$C$19,0))),0)</f>
        <v>0</v>
      </c>
      <c r="P169" s="237">
        <f>IFERROR(IF($D74="RUB",$E74*P74*(1+P$29),$E74*P74*(1+INDEX(P$30:P$35,MATCH("Инфляция "&amp;$D74,$C$30:$C$35,0)+1))*INDEX(Расчет!P$17:P$19,MATCH($D74&amp;"/RUB",$C$17:$C$19,0))),0)</f>
        <v>0</v>
      </c>
      <c r="Q169" s="237">
        <f>IFERROR(IF($D74="RUB",$E74*Q74*(1+Q$29),$E74*Q74*(1+INDEX(Q$30:Q$35,MATCH("Инфляция "&amp;$D74,$C$30:$C$35,0)+1))*INDEX(Расчет!Q$17:Q$19,MATCH($D74&amp;"/RUB",$C$17:$C$19,0))),0)</f>
        <v>0</v>
      </c>
      <c r="R169" s="237">
        <f>IFERROR(IF($D74="RUB",$E74*R74*(1+R$29),$E74*R74*(1+INDEX(R$30:R$35,MATCH("Инфляция "&amp;$D74,$C$30:$C$35,0)+1))*INDEX(Расчет!R$17:R$19,MATCH($D74&amp;"/RUB",$C$17:$C$19,0))),0)</f>
        <v>0</v>
      </c>
      <c r="S169" s="237">
        <f>IFERROR(IF($D74="RUB",$E74*S74*(1+S$29),$E74*S74*(1+INDEX(S$30:S$35,MATCH("Инфляция "&amp;$D74,$C$30:$C$35,0)+1))*INDEX(Расчет!S$17:S$19,MATCH($D74&amp;"/RUB",$C$17:$C$19,0))),0)</f>
        <v>0</v>
      </c>
    </row>
    <row r="170" spans="1:19" s="2" customFormat="1" ht="16.5" x14ac:dyDescent="0.3">
      <c r="A170" s="238"/>
      <c r="B170" s="238"/>
      <c r="C170" s="200" t="s">
        <v>19</v>
      </c>
      <c r="D170" s="242" t="s">
        <v>12</v>
      </c>
      <c r="E170" s="237">
        <f t="shared" si="68"/>
        <v>0</v>
      </c>
      <c r="F170" s="243">
        <f t="shared" si="69"/>
        <v>0</v>
      </c>
      <c r="G170" s="251"/>
      <c r="H170" s="237">
        <f>IFERROR(IF($D75="RUB",$E75*H75*(1+H$29),$E75*H75*(1+INDEX(H$30:H$35,MATCH("Инфляция "&amp;$D75,$C$30:$C$35,0)+1))*INDEX(Расчет!H$17:H$19,MATCH($D75&amp;"/RUB",$C$17:$C$19,0))),0)</f>
        <v>0</v>
      </c>
      <c r="I170" s="237">
        <f>IFERROR(IF($D75="RUB",$E75*I75*(1+I$29),$E75*I75*(1+INDEX(I$30:I$35,MATCH("Инфляция "&amp;$D75,$C$30:$C$35,0)+1))*INDEX(Расчет!I$17:I$19,MATCH($D75&amp;"/RUB",$C$17:$C$19,0))),0)</f>
        <v>0</v>
      </c>
      <c r="J170" s="237">
        <f>IFERROR(IF($D75="RUB",$E75*J75*(1+J$29),$E75*J75*(1+INDEX(J$30:J$35,MATCH("Инфляция "&amp;$D75,$C$30:$C$35,0)+1))*INDEX(Расчет!J$17:J$19,MATCH($D75&amp;"/RUB",$C$17:$C$19,0))),0)</f>
        <v>0</v>
      </c>
      <c r="K170" s="237">
        <f>IFERROR(IF($D75="RUB",$E75*K75*(1+K$29),$E75*K75*(1+INDEX(K$30:K$35,MATCH("Инфляция "&amp;$D75,$C$30:$C$35,0)+1))*INDEX(Расчет!K$17:K$19,MATCH($D75&amp;"/RUB",$C$17:$C$19,0))),0)</f>
        <v>0</v>
      </c>
      <c r="L170" s="237">
        <f>IFERROR(IF($D75="RUB",$E75*L75*(1+L$29),$E75*L75*(1+INDEX(L$30:L$35,MATCH("Инфляция "&amp;$D75,$C$30:$C$35,0)+1))*INDEX(Расчет!L$17:L$19,MATCH($D75&amp;"/RUB",$C$17:$C$19,0))),0)</f>
        <v>0</v>
      </c>
      <c r="M170" s="237">
        <f>IFERROR(IF($D75="RUB",$E75*M75*(1+M$29),$E75*M75*(1+INDEX(M$30:M$35,MATCH("Инфляция "&amp;$D75,$C$30:$C$35,0)+1))*INDEX(Расчет!M$17:M$19,MATCH($D75&amp;"/RUB",$C$17:$C$19,0))),0)</f>
        <v>0</v>
      </c>
      <c r="N170" s="237">
        <f>IFERROR(IF($D75="RUB",$E75*N75*(1+N$29),$E75*N75*(1+INDEX(N$30:N$35,MATCH("Инфляция "&amp;$D75,$C$30:$C$35,0)+1))*INDEX(Расчет!N$17:N$19,MATCH($D75&amp;"/RUB",$C$17:$C$19,0))),0)</f>
        <v>0</v>
      </c>
      <c r="O170" s="237">
        <f>IFERROR(IF($D75="RUB",$E75*O75*(1+O$29),$E75*O75*(1+INDEX(O$30:O$35,MATCH("Инфляция "&amp;$D75,$C$30:$C$35,0)+1))*INDEX(Расчет!O$17:O$19,MATCH($D75&amp;"/RUB",$C$17:$C$19,0))),0)</f>
        <v>0</v>
      </c>
      <c r="P170" s="237">
        <f>IFERROR(IF($D75="RUB",$E75*P75*(1+P$29),$E75*P75*(1+INDEX(P$30:P$35,MATCH("Инфляция "&amp;$D75,$C$30:$C$35,0)+1))*INDEX(Расчет!P$17:P$19,MATCH($D75&amp;"/RUB",$C$17:$C$19,0))),0)</f>
        <v>0</v>
      </c>
      <c r="Q170" s="237">
        <f>IFERROR(IF($D75="RUB",$E75*Q75*(1+Q$29),$E75*Q75*(1+INDEX(Q$30:Q$35,MATCH("Инфляция "&amp;$D75,$C$30:$C$35,0)+1))*INDEX(Расчет!Q$17:Q$19,MATCH($D75&amp;"/RUB",$C$17:$C$19,0))),0)</f>
        <v>0</v>
      </c>
      <c r="R170" s="237">
        <f>IFERROR(IF($D75="RUB",$E75*R75*(1+R$29),$E75*R75*(1+INDEX(R$30:R$35,MATCH("Инфляция "&amp;$D75,$C$30:$C$35,0)+1))*INDEX(Расчет!R$17:R$19,MATCH($D75&amp;"/RUB",$C$17:$C$19,0))),0)</f>
        <v>0</v>
      </c>
      <c r="S170" s="237">
        <f>IFERROR(IF($D75="RUB",$E75*S75*(1+S$29),$E75*S75*(1+INDEX(S$30:S$35,MATCH("Инфляция "&amp;$D75,$C$30:$C$35,0)+1))*INDEX(Расчет!S$17:S$19,MATCH($D75&amp;"/RUB",$C$17:$C$19,0))),0)</f>
        <v>0</v>
      </c>
    </row>
    <row r="171" spans="1:19" s="2" customFormat="1" ht="16.5" x14ac:dyDescent="0.3">
      <c r="A171" s="238"/>
      <c r="B171" s="238"/>
      <c r="C171" s="200" t="s">
        <v>82</v>
      </c>
      <c r="D171" s="242" t="s">
        <v>12</v>
      </c>
      <c r="E171" s="237">
        <f t="shared" ca="1" si="68"/>
        <v>479300.71064570243</v>
      </c>
      <c r="F171" s="243">
        <f t="shared" si="69"/>
        <v>0.15319148936170213</v>
      </c>
      <c r="G171" s="251"/>
      <c r="H171" s="237">
        <f ca="1">IFERROR(IF($D76="RUB",$E76*H76*(1+H$29),$E76*H76*(1+INDEX(H$30:H$35,MATCH("Инфляция "&amp;$D76,$C$30:$C$35,0)+1))*INDEX(Расчет!H$17:H$19,MATCH($D76&amp;"/RUB",$C$17:$C$19,0))),0)</f>
        <v>110612.94884917983</v>
      </c>
      <c r="I171" s="237">
        <f ca="1">IFERROR(IF($D76="RUB",$E76*I76*(1+I$29),$E76*I76*(1+INDEX(I$30:I$35,MATCH("Инфляция "&amp;$D76,$C$30:$C$35,0)+1))*INDEX(Расчет!I$17:I$19,MATCH($D76&amp;"/RUB",$C$17:$C$19,0))),0)</f>
        <v>63198.473414830951</v>
      </c>
      <c r="J171" s="237">
        <f ca="1">IFERROR(IF($D76="RUB",$E76*J76*(1+J$29),$E76*J76*(1+INDEX(J$30:J$35,MATCH("Инфляция "&amp;$D76,$C$30:$C$35,0)+1))*INDEX(Расчет!J$17:J$19,MATCH($D76&amp;"/RUB",$C$17:$C$19,0))),0)</f>
        <v>63550.63188346316</v>
      </c>
      <c r="K171" s="237">
        <f ca="1">IFERROR(IF($D76="RUB",$E76*K76*(1+K$29),$E76*K76*(1+INDEX(K$30:K$35,MATCH("Инфляция "&amp;$D76,$C$30:$C$35,0)+1))*INDEX(Расчет!K$17:K$19,MATCH($D76&amp;"/RUB",$C$17:$C$19,0))),0)</f>
        <v>63904.752671441522</v>
      </c>
      <c r="L171" s="237">
        <f ca="1">IFERROR(IF($D76="RUB",$E76*L76*(1+L$29),$E76*L76*(1+INDEX(L$30:L$35,MATCH("Инфляция "&amp;$D76,$C$30:$C$35,0)+1))*INDEX(Расчет!L$17:L$19,MATCH($D76&amp;"/RUB",$C$17:$C$19,0))),0)</f>
        <v>64260.846713324092</v>
      </c>
      <c r="M171" s="237">
        <f ca="1">IFERROR(IF($D76="RUB",$E76*M76*(1+M$29),$E76*M76*(1+INDEX(M$30:M$35,MATCH("Инфляция "&amp;$D76,$C$30:$C$35,0)+1))*INDEX(Расчет!M$17:M$19,MATCH($D76&amp;"/RUB",$C$17:$C$19,0))),0)</f>
        <v>103390.2800073586</v>
      </c>
      <c r="N171" s="237">
        <f ca="1">IFERROR(IF($D76="RUB",$E76*N76*(1+N$29),$E76*N76*(1+INDEX(N$30:N$35,MATCH("Инфляция "&amp;$D76,$C$30:$C$35,0)+1))*INDEX(Расчет!N$17:N$19,MATCH($D76&amp;"/RUB",$C$17:$C$19,0))),0)</f>
        <v>10382.777106104339</v>
      </c>
      <c r="O171" s="237">
        <f ca="1">IFERROR(IF($D76="RUB",$E76*O76*(1+O$29),$E76*O76*(1+INDEX(O$30:O$35,MATCH("Инфляция "&amp;$D76,$C$30:$C$35,0)+1))*INDEX(Расчет!O$17:O$19,MATCH($D76&amp;"/RUB",$C$17:$C$19,0))),0)</f>
        <v>0</v>
      </c>
      <c r="P171" s="237">
        <f ca="1">IFERROR(IF($D76="RUB",$E76*P76*(1+P$29),$E76*P76*(1+INDEX(P$30:P$35,MATCH("Инфляция "&amp;$D76,$C$30:$C$35,0)+1))*INDEX(Расчет!P$17:P$19,MATCH($D76&amp;"/RUB",$C$17:$C$19,0))),0)</f>
        <v>0</v>
      </c>
      <c r="Q171" s="237">
        <f ca="1">IFERROR(IF($D76="RUB",$E76*Q76*(1+Q$29),$E76*Q76*(1+INDEX(Q$30:Q$35,MATCH("Инфляция "&amp;$D76,$C$30:$C$35,0)+1))*INDEX(Расчет!Q$17:Q$19,MATCH($D76&amp;"/RUB",$C$17:$C$19,0))),0)</f>
        <v>0</v>
      </c>
      <c r="R171" s="237">
        <f ca="1">IFERROR(IF($D76="RUB",$E76*R76*(1+R$29),$E76*R76*(1+INDEX(R$30:R$35,MATCH("Инфляция "&amp;$D76,$C$30:$C$35,0)+1))*INDEX(Расчет!R$17:R$19,MATCH($D76&amp;"/RUB",$C$17:$C$19,0))),0)</f>
        <v>0</v>
      </c>
      <c r="S171" s="237">
        <f ca="1">IFERROR(IF($D76="RUB",$E76*S76*(1+S$29),$E76*S76*(1+INDEX(S$30:S$35,MATCH("Инфляция "&amp;$D76,$C$30:$C$35,0)+1))*INDEX(Расчет!S$17:S$19,MATCH($D76&amp;"/RUB",$C$17:$C$19,0))),0)</f>
        <v>0</v>
      </c>
    </row>
    <row r="172" spans="1:19" s="2" customFormat="1" ht="16.5" x14ac:dyDescent="0.3">
      <c r="A172" s="238"/>
      <c r="B172" s="238"/>
      <c r="C172" s="200" t="s">
        <v>82</v>
      </c>
      <c r="D172" s="242" t="s">
        <v>12</v>
      </c>
      <c r="E172" s="237">
        <f t="shared" si="68"/>
        <v>0</v>
      </c>
      <c r="F172" s="243">
        <f t="shared" si="69"/>
        <v>0</v>
      </c>
      <c r="G172" s="251"/>
      <c r="H172" s="237">
        <f>IFERROR(IF($D77="RUB",$E77*H77*(1+H$29),$E77*H77*(1+INDEX(H$30:H$35,MATCH("Инфляция "&amp;$D77,$C$30:$C$35,0)+1))*INDEX(Расчет!H$17:H$19,MATCH($D77&amp;"/RUB",$C$17:$C$19,0))),0)</f>
        <v>0</v>
      </c>
      <c r="I172" s="237">
        <f>IFERROR(IF($D77="RUB",$E77*I77*(1+I$29),$E77*I77*(1+INDEX(I$30:I$35,MATCH("Инфляция "&amp;$D77,$C$30:$C$35,0)+1))*INDEX(Расчет!I$17:I$19,MATCH($D77&amp;"/RUB",$C$17:$C$19,0))),0)</f>
        <v>0</v>
      </c>
      <c r="J172" s="237">
        <f>IFERROR(IF($D77="RUB",$E77*J77*(1+J$29),$E77*J77*(1+INDEX(J$30:J$35,MATCH("Инфляция "&amp;$D77,$C$30:$C$35,0)+1))*INDEX(Расчет!J$17:J$19,MATCH($D77&amp;"/RUB",$C$17:$C$19,0))),0)</f>
        <v>0</v>
      </c>
      <c r="K172" s="237">
        <f>IFERROR(IF($D77="RUB",$E77*K77*(1+K$29),$E77*K77*(1+INDEX(K$30:K$35,MATCH("Инфляция "&amp;$D77,$C$30:$C$35,0)+1))*INDEX(Расчет!K$17:K$19,MATCH($D77&amp;"/RUB",$C$17:$C$19,0))),0)</f>
        <v>0</v>
      </c>
      <c r="L172" s="237">
        <f>IFERROR(IF($D77="RUB",$E77*L77*(1+L$29),$E77*L77*(1+INDEX(L$30:L$35,MATCH("Инфляция "&amp;$D77,$C$30:$C$35,0)+1))*INDEX(Расчет!L$17:L$19,MATCH($D77&amp;"/RUB",$C$17:$C$19,0))),0)</f>
        <v>0</v>
      </c>
      <c r="M172" s="237">
        <f>IFERROR(IF($D77="RUB",$E77*M77*(1+M$29),$E77*M77*(1+INDEX(M$30:M$35,MATCH("Инфляция "&amp;$D77,$C$30:$C$35,0)+1))*INDEX(Расчет!M$17:M$19,MATCH($D77&amp;"/RUB",$C$17:$C$19,0))),0)</f>
        <v>0</v>
      </c>
      <c r="N172" s="237">
        <f>IFERROR(IF($D77="RUB",$E77*N77*(1+N$29),$E77*N77*(1+INDEX(N$30:N$35,MATCH("Инфляция "&amp;$D77,$C$30:$C$35,0)+1))*INDEX(Расчет!N$17:N$19,MATCH($D77&amp;"/RUB",$C$17:$C$19,0))),0)</f>
        <v>0</v>
      </c>
      <c r="O172" s="237">
        <f>IFERROR(IF($D77="RUB",$E77*O77*(1+O$29),$E77*O77*(1+INDEX(O$30:O$35,MATCH("Инфляция "&amp;$D77,$C$30:$C$35,0)+1))*INDEX(Расчет!O$17:O$19,MATCH($D77&amp;"/RUB",$C$17:$C$19,0))),0)</f>
        <v>0</v>
      </c>
      <c r="P172" s="237">
        <f>IFERROR(IF($D77="RUB",$E77*P77*(1+P$29),$E77*P77*(1+INDEX(P$30:P$35,MATCH("Инфляция "&amp;$D77,$C$30:$C$35,0)+1))*INDEX(Расчет!P$17:P$19,MATCH($D77&amp;"/RUB",$C$17:$C$19,0))),0)</f>
        <v>0</v>
      </c>
      <c r="Q172" s="237">
        <f>IFERROR(IF($D77="RUB",$E77*Q77*(1+Q$29),$E77*Q77*(1+INDEX(Q$30:Q$35,MATCH("Инфляция "&amp;$D77,$C$30:$C$35,0)+1))*INDEX(Расчет!Q$17:Q$19,MATCH($D77&amp;"/RUB",$C$17:$C$19,0))),0)</f>
        <v>0</v>
      </c>
      <c r="R172" s="237">
        <f>IFERROR(IF($D77="RUB",$E77*R77*(1+R$29),$E77*R77*(1+INDEX(R$30:R$35,MATCH("Инфляция "&amp;$D77,$C$30:$C$35,0)+1))*INDEX(Расчет!R$17:R$19,MATCH($D77&amp;"/RUB",$C$17:$C$19,0))),0)</f>
        <v>0</v>
      </c>
      <c r="S172" s="237">
        <f>IFERROR(IF($D77="RUB",$E77*S77*(1+S$29),$E77*S77*(1+INDEX(S$30:S$35,MATCH("Инфляция "&amp;$D77,$C$30:$C$35,0)+1))*INDEX(Расчет!S$17:S$19,MATCH($D77&amp;"/RUB",$C$17:$C$19,0))),0)</f>
        <v>0</v>
      </c>
    </row>
    <row r="173" spans="1:19" s="2" customFormat="1" ht="16.5" x14ac:dyDescent="0.3">
      <c r="A173" s="238"/>
      <c r="B173" s="238"/>
      <c r="C173" s="200" t="s">
        <v>82</v>
      </c>
      <c r="D173" s="242" t="s">
        <v>12</v>
      </c>
      <c r="E173" s="237">
        <f t="shared" si="68"/>
        <v>0</v>
      </c>
      <c r="F173" s="243">
        <f t="shared" si="69"/>
        <v>0</v>
      </c>
      <c r="G173" s="251"/>
      <c r="H173" s="237">
        <f>IFERROR(IF($D78="RUB",$E78*H78*(1+H$29),$E78*H78*(1+INDEX(H$30:H$35,MATCH("Инфляция "&amp;$D78,$C$30:$C$35,0)+1))*INDEX(Расчет!H$17:H$19,MATCH($D78&amp;"/RUB",$C$17:$C$19,0))),0)</f>
        <v>0</v>
      </c>
      <c r="I173" s="237">
        <f>IFERROR(IF($D78="RUB",$E78*I78*(1+I$29),$E78*I78*(1+INDEX(I$30:I$35,MATCH("Инфляция "&amp;$D78,$C$30:$C$35,0)+1))*INDEX(Расчет!I$17:I$19,MATCH($D78&amp;"/RUB",$C$17:$C$19,0))),0)</f>
        <v>0</v>
      </c>
      <c r="J173" s="237">
        <f>IFERROR(IF($D78="RUB",$E78*J78*(1+J$29),$E78*J78*(1+INDEX(J$30:J$35,MATCH("Инфляция "&amp;$D78,$C$30:$C$35,0)+1))*INDEX(Расчет!J$17:J$19,MATCH($D78&amp;"/RUB",$C$17:$C$19,0))),0)</f>
        <v>0</v>
      </c>
      <c r="K173" s="237">
        <f>IFERROR(IF($D78="RUB",$E78*K78*(1+K$29),$E78*K78*(1+INDEX(K$30:K$35,MATCH("Инфляция "&amp;$D78,$C$30:$C$35,0)+1))*INDEX(Расчет!K$17:K$19,MATCH($D78&amp;"/RUB",$C$17:$C$19,0))),0)</f>
        <v>0</v>
      </c>
      <c r="L173" s="237">
        <f>IFERROR(IF($D78="RUB",$E78*L78*(1+L$29),$E78*L78*(1+INDEX(L$30:L$35,MATCH("Инфляция "&amp;$D78,$C$30:$C$35,0)+1))*INDEX(Расчет!L$17:L$19,MATCH($D78&amp;"/RUB",$C$17:$C$19,0))),0)</f>
        <v>0</v>
      </c>
      <c r="M173" s="237">
        <f>IFERROR(IF($D78="RUB",$E78*M78*(1+M$29),$E78*M78*(1+INDEX(M$30:M$35,MATCH("Инфляция "&amp;$D78,$C$30:$C$35,0)+1))*INDEX(Расчет!M$17:M$19,MATCH($D78&amp;"/RUB",$C$17:$C$19,0))),0)</f>
        <v>0</v>
      </c>
      <c r="N173" s="237">
        <f>IFERROR(IF($D78="RUB",$E78*N78*(1+N$29),$E78*N78*(1+INDEX(N$30:N$35,MATCH("Инфляция "&amp;$D78,$C$30:$C$35,0)+1))*INDEX(Расчет!N$17:N$19,MATCH($D78&amp;"/RUB",$C$17:$C$19,0))),0)</f>
        <v>0</v>
      </c>
      <c r="O173" s="237">
        <f>IFERROR(IF($D78="RUB",$E78*O78*(1+O$29),$E78*O78*(1+INDEX(O$30:O$35,MATCH("Инфляция "&amp;$D78,$C$30:$C$35,0)+1))*INDEX(Расчет!O$17:O$19,MATCH($D78&amp;"/RUB",$C$17:$C$19,0))),0)</f>
        <v>0</v>
      </c>
      <c r="P173" s="237">
        <f>IFERROR(IF($D78="RUB",$E78*P78*(1+P$29),$E78*P78*(1+INDEX(P$30:P$35,MATCH("Инфляция "&amp;$D78,$C$30:$C$35,0)+1))*INDEX(Расчет!P$17:P$19,MATCH($D78&amp;"/RUB",$C$17:$C$19,0))),0)</f>
        <v>0</v>
      </c>
      <c r="Q173" s="237">
        <f>IFERROR(IF($D78="RUB",$E78*Q78*(1+Q$29),$E78*Q78*(1+INDEX(Q$30:Q$35,MATCH("Инфляция "&amp;$D78,$C$30:$C$35,0)+1))*INDEX(Расчет!Q$17:Q$19,MATCH($D78&amp;"/RUB",$C$17:$C$19,0))),0)</f>
        <v>0</v>
      </c>
      <c r="R173" s="237">
        <f>IFERROR(IF($D78="RUB",$E78*R78*(1+R$29),$E78*R78*(1+INDEX(R$30:R$35,MATCH("Инфляция "&amp;$D78,$C$30:$C$35,0)+1))*INDEX(Расчет!R$17:R$19,MATCH($D78&amp;"/RUB",$C$17:$C$19,0))),0)</f>
        <v>0</v>
      </c>
      <c r="S173" s="237">
        <f>IFERROR(IF($D78="RUB",$E78*S78*(1+S$29),$E78*S78*(1+INDEX(S$30:S$35,MATCH("Инфляция "&amp;$D78,$C$30:$C$35,0)+1))*INDEX(Расчет!S$17:S$19,MATCH($D78&amp;"/RUB",$C$17:$C$19,0))),0)</f>
        <v>0</v>
      </c>
    </row>
    <row r="174" spans="1:19" s="2" customFormat="1" ht="16.5" x14ac:dyDescent="0.3">
      <c r="A174" s="238"/>
      <c r="B174" s="238"/>
      <c r="C174" s="200" t="s">
        <v>82</v>
      </c>
      <c r="D174" s="242" t="s">
        <v>12</v>
      </c>
      <c r="E174" s="237">
        <f t="shared" si="68"/>
        <v>0</v>
      </c>
      <c r="F174" s="243">
        <f t="shared" si="69"/>
        <v>0</v>
      </c>
      <c r="G174" s="251"/>
      <c r="H174" s="237">
        <f>IFERROR(IF($D79="RUB",$E79*H79*(1+H$29),$E79*H79*(1+INDEX(H$30:H$35,MATCH("Инфляция "&amp;$D79,$C$30:$C$35,0)+1))*INDEX(Расчет!H$17:H$19,MATCH($D79&amp;"/RUB",$C$17:$C$19,0))),0)</f>
        <v>0</v>
      </c>
      <c r="I174" s="237">
        <f>IFERROR(IF($D79="RUB",$E79*I79*(1+I$29),$E79*I79*(1+INDEX(I$30:I$35,MATCH("Инфляция "&amp;$D79,$C$30:$C$35,0)+1))*INDEX(Расчет!I$17:I$19,MATCH($D79&amp;"/RUB",$C$17:$C$19,0))),0)</f>
        <v>0</v>
      </c>
      <c r="J174" s="237">
        <f>IFERROR(IF($D79="RUB",$E79*J79*(1+J$29),$E79*J79*(1+INDEX(J$30:J$35,MATCH("Инфляция "&amp;$D79,$C$30:$C$35,0)+1))*INDEX(Расчет!J$17:J$19,MATCH($D79&amp;"/RUB",$C$17:$C$19,0))),0)</f>
        <v>0</v>
      </c>
      <c r="K174" s="237">
        <f>IFERROR(IF($D79="RUB",$E79*K79*(1+K$29),$E79*K79*(1+INDEX(K$30:K$35,MATCH("Инфляция "&amp;$D79,$C$30:$C$35,0)+1))*INDEX(Расчет!K$17:K$19,MATCH($D79&amp;"/RUB",$C$17:$C$19,0))),0)</f>
        <v>0</v>
      </c>
      <c r="L174" s="237">
        <f>IFERROR(IF($D79="RUB",$E79*L79*(1+L$29),$E79*L79*(1+INDEX(L$30:L$35,MATCH("Инфляция "&amp;$D79,$C$30:$C$35,0)+1))*INDEX(Расчет!L$17:L$19,MATCH($D79&amp;"/RUB",$C$17:$C$19,0))),0)</f>
        <v>0</v>
      </c>
      <c r="M174" s="237">
        <f>IFERROR(IF($D79="RUB",$E79*M79*(1+M$29),$E79*M79*(1+INDEX(M$30:M$35,MATCH("Инфляция "&amp;$D79,$C$30:$C$35,0)+1))*INDEX(Расчет!M$17:M$19,MATCH($D79&amp;"/RUB",$C$17:$C$19,0))),0)</f>
        <v>0</v>
      </c>
      <c r="N174" s="237">
        <f>IFERROR(IF($D79="RUB",$E79*N79*(1+N$29),$E79*N79*(1+INDEX(N$30:N$35,MATCH("Инфляция "&amp;$D79,$C$30:$C$35,0)+1))*INDEX(Расчет!N$17:N$19,MATCH($D79&amp;"/RUB",$C$17:$C$19,0))),0)</f>
        <v>0</v>
      </c>
      <c r="O174" s="237">
        <f>IFERROR(IF($D79="RUB",$E79*O79*(1+O$29),$E79*O79*(1+INDEX(O$30:O$35,MATCH("Инфляция "&amp;$D79,$C$30:$C$35,0)+1))*INDEX(Расчет!O$17:O$19,MATCH($D79&amp;"/RUB",$C$17:$C$19,0))),0)</f>
        <v>0</v>
      </c>
      <c r="P174" s="237">
        <f>IFERROR(IF($D79="RUB",$E79*P79*(1+P$29),$E79*P79*(1+INDEX(P$30:P$35,MATCH("Инфляция "&amp;$D79,$C$30:$C$35,0)+1))*INDEX(Расчет!P$17:P$19,MATCH($D79&amp;"/RUB",$C$17:$C$19,0))),0)</f>
        <v>0</v>
      </c>
      <c r="Q174" s="237">
        <f>IFERROR(IF($D79="RUB",$E79*Q79*(1+Q$29),$E79*Q79*(1+INDEX(Q$30:Q$35,MATCH("Инфляция "&amp;$D79,$C$30:$C$35,0)+1))*INDEX(Расчет!Q$17:Q$19,MATCH($D79&amp;"/RUB",$C$17:$C$19,0))),0)</f>
        <v>0</v>
      </c>
      <c r="R174" s="237">
        <f>IFERROR(IF($D79="RUB",$E79*R79*(1+R$29),$E79*R79*(1+INDEX(R$30:R$35,MATCH("Инфляция "&amp;$D79,$C$30:$C$35,0)+1))*INDEX(Расчет!R$17:R$19,MATCH($D79&amp;"/RUB",$C$17:$C$19,0))),0)</f>
        <v>0</v>
      </c>
      <c r="S174" s="237">
        <f>IFERROR(IF($D79="RUB",$E79*S79*(1+S$29),$E79*S79*(1+INDEX(S$30:S$35,MATCH("Инфляция "&amp;$D79,$C$30:$C$35,0)+1))*INDEX(Расчет!S$17:S$19,MATCH($D79&amp;"/RUB",$C$17:$C$19,0))),0)</f>
        <v>0</v>
      </c>
    </row>
    <row r="175" spans="1:19" s="2" customFormat="1" ht="16.5" x14ac:dyDescent="0.3">
      <c r="A175" s="238"/>
      <c r="B175" s="238"/>
      <c r="C175" s="200" t="s">
        <v>32</v>
      </c>
      <c r="D175" s="242" t="s">
        <v>12</v>
      </c>
      <c r="E175" s="237">
        <f t="shared" ca="1" si="68"/>
        <v>154655.72606150786</v>
      </c>
      <c r="F175" s="243">
        <f t="shared" si="69"/>
        <v>0.2</v>
      </c>
      <c r="G175" s="251"/>
      <c r="H175" s="237">
        <f ca="1">IFERROR(IF($D80="RUB",$E80*H80*(1+H$29),$E80*H80*(1+INDEX(H$30:H$35,MATCH("Инфляция "&amp;$D80,$C$30:$C$35,0)+1))*INDEX(Расчет!H$17:H$19,MATCH($D80&amp;"/RUB",$C$17:$C$19,0))),0)</f>
        <v>0</v>
      </c>
      <c r="I175" s="237">
        <f ca="1">IFERROR(IF($D80="RUB",$E80*I80*(1+I$29),$E80*I80*(1+INDEX(I$30:I$35,MATCH("Инфляция "&amp;$D80,$C$30:$C$35,0)+1))*INDEX(Расчет!I$17:I$19,MATCH($D80&amp;"/RUB",$C$17:$C$19,0))),0)</f>
        <v>0</v>
      </c>
      <c r="J175" s="237">
        <f ca="1">IFERROR(IF($D80="RUB",$E80*J80*(1+J$29),$E80*J80*(1+INDEX(J$30:J$35,MATCH("Инфляция "&amp;$D80,$C$30:$C$35,0)+1))*INDEX(Расчет!J$17:J$19,MATCH($D80&amp;"/RUB",$C$17:$C$19,0))),0)</f>
        <v>0</v>
      </c>
      <c r="K175" s="237">
        <f ca="1">IFERROR(IF($D80="RUB",$E80*K80*(1+K$29),$E80*K80*(1+INDEX(K$30:K$35,MATCH("Инфляция "&amp;$D80,$C$30:$C$35,0)+1))*INDEX(Расчет!K$17:K$19,MATCH($D80&amp;"/RUB",$C$17:$C$19,0))),0)</f>
        <v>0</v>
      </c>
      <c r="L175" s="237">
        <f ca="1">IFERROR(IF($D80="RUB",$E80*L80*(1+L$29),$E80*L80*(1+INDEX(L$30:L$35,MATCH("Инфляция "&amp;$D80,$C$30:$C$35,0)+1))*INDEX(Расчет!L$17:L$19,MATCH($D80&amp;"/RUB",$C$17:$C$19,0))),0)</f>
        <v>77113.016055988905</v>
      </c>
      <c r="M175" s="237">
        <f ca="1">IFERROR(IF($D80="RUB",$E80*M80*(1+M$29),$E80*M80*(1+INDEX(M$30:M$35,MATCH("Инфляция "&amp;$D80,$C$30:$C$35,0)+1))*INDEX(Расчет!M$17:M$19,MATCH($D80&amp;"/RUB",$C$17:$C$19,0))),0)</f>
        <v>77542.710005518951</v>
      </c>
      <c r="N175" s="237">
        <f ca="1">IFERROR(IF($D80="RUB",$E80*N80*(1+N$29),$E80*N80*(1+INDEX(N$30:N$35,MATCH("Инфляция "&amp;$D80,$C$30:$C$35,0)+1))*INDEX(Расчет!N$17:N$19,MATCH($D80&amp;"/RUB",$C$17:$C$19,0))),0)</f>
        <v>0</v>
      </c>
      <c r="O175" s="237">
        <f ca="1">IFERROR(IF($D80="RUB",$E80*O80*(1+O$29),$E80*O80*(1+INDEX(O$30:O$35,MATCH("Инфляция "&amp;$D80,$C$30:$C$35,0)+1))*INDEX(Расчет!O$17:O$19,MATCH($D80&amp;"/RUB",$C$17:$C$19,0))),0)</f>
        <v>0</v>
      </c>
      <c r="P175" s="237">
        <f ca="1">IFERROR(IF($D80="RUB",$E80*P80*(1+P$29),$E80*P80*(1+INDEX(P$30:P$35,MATCH("Инфляция "&amp;$D80,$C$30:$C$35,0)+1))*INDEX(Расчет!P$17:P$19,MATCH($D80&amp;"/RUB",$C$17:$C$19,0))),0)</f>
        <v>0</v>
      </c>
      <c r="Q175" s="237">
        <f ca="1">IFERROR(IF($D80="RUB",$E80*Q80*(1+Q$29),$E80*Q80*(1+INDEX(Q$30:Q$35,MATCH("Инфляция "&amp;$D80,$C$30:$C$35,0)+1))*INDEX(Расчет!Q$17:Q$19,MATCH($D80&amp;"/RUB",$C$17:$C$19,0))),0)</f>
        <v>0</v>
      </c>
      <c r="R175" s="237">
        <f ca="1">IFERROR(IF($D80="RUB",$E80*R80*(1+R$29),$E80*R80*(1+INDEX(R$30:R$35,MATCH("Инфляция "&amp;$D80,$C$30:$C$35,0)+1))*INDEX(Расчет!R$17:R$19,MATCH($D80&amp;"/RUB",$C$17:$C$19,0))),0)</f>
        <v>0</v>
      </c>
      <c r="S175" s="237">
        <f ca="1">IFERROR(IF($D80="RUB",$E80*S80*(1+S$29),$E80*S80*(1+INDEX(S$30:S$35,MATCH("Инфляция "&amp;$D80,$C$30:$C$35,0)+1))*INDEX(Расчет!S$17:S$19,MATCH($D80&amp;"/RUB",$C$17:$C$19,0))),0)</f>
        <v>0</v>
      </c>
    </row>
    <row r="176" spans="1:19" s="2" customFormat="1" ht="16.5" x14ac:dyDescent="0.3">
      <c r="A176" s="238"/>
      <c r="B176" s="238"/>
      <c r="C176" s="200" t="s">
        <v>32</v>
      </c>
      <c r="D176" s="242" t="s">
        <v>12</v>
      </c>
      <c r="E176" s="237">
        <f t="shared" si="68"/>
        <v>0</v>
      </c>
      <c r="F176" s="243">
        <f t="shared" si="69"/>
        <v>0</v>
      </c>
      <c r="G176" s="251"/>
      <c r="H176" s="237">
        <f>IFERROR(IF($D81="RUB",$E81*H81*(1+H$29),$E81*H81*(1+INDEX(H$30:H$35,MATCH("Инфляция "&amp;$D81,$C$30:$C$35,0)+1))*INDEX(Расчет!H$17:H$19,MATCH($D81&amp;"/RUB",$C$17:$C$19,0))),0)</f>
        <v>0</v>
      </c>
      <c r="I176" s="237">
        <f>IFERROR(IF($D81="RUB",$E81*I81*(1+I$29),$E81*I81*(1+INDEX(I$30:I$35,MATCH("Инфляция "&amp;$D81,$C$30:$C$35,0)+1))*INDEX(Расчет!I$17:I$19,MATCH($D81&amp;"/RUB",$C$17:$C$19,0))),0)</f>
        <v>0</v>
      </c>
      <c r="J176" s="237">
        <f>IFERROR(IF($D81="RUB",$E81*J81*(1+J$29),$E81*J81*(1+INDEX(J$30:J$35,MATCH("Инфляция "&amp;$D81,$C$30:$C$35,0)+1))*INDEX(Расчет!J$17:J$19,MATCH($D81&amp;"/RUB",$C$17:$C$19,0))),0)</f>
        <v>0</v>
      </c>
      <c r="K176" s="237">
        <f>IFERROR(IF($D81="RUB",$E81*K81*(1+K$29),$E81*K81*(1+INDEX(K$30:K$35,MATCH("Инфляция "&amp;$D81,$C$30:$C$35,0)+1))*INDEX(Расчет!K$17:K$19,MATCH($D81&amp;"/RUB",$C$17:$C$19,0))),0)</f>
        <v>0</v>
      </c>
      <c r="L176" s="237">
        <f>IFERROR(IF($D81="RUB",$E81*L81*(1+L$29),$E81*L81*(1+INDEX(L$30:L$35,MATCH("Инфляция "&amp;$D81,$C$30:$C$35,0)+1))*INDEX(Расчет!L$17:L$19,MATCH($D81&amp;"/RUB",$C$17:$C$19,0))),0)</f>
        <v>0</v>
      </c>
      <c r="M176" s="237">
        <f>IFERROR(IF($D81="RUB",$E81*M81*(1+M$29),$E81*M81*(1+INDEX(M$30:M$35,MATCH("Инфляция "&amp;$D81,$C$30:$C$35,0)+1))*INDEX(Расчет!M$17:M$19,MATCH($D81&amp;"/RUB",$C$17:$C$19,0))),0)</f>
        <v>0</v>
      </c>
      <c r="N176" s="237">
        <f>IFERROR(IF($D81="RUB",$E81*N81*(1+N$29),$E81*N81*(1+INDEX(N$30:N$35,MATCH("Инфляция "&amp;$D81,$C$30:$C$35,0)+1))*INDEX(Расчет!N$17:N$19,MATCH($D81&amp;"/RUB",$C$17:$C$19,0))),0)</f>
        <v>0</v>
      </c>
      <c r="O176" s="237">
        <f>IFERROR(IF($D81="RUB",$E81*O81*(1+O$29),$E81*O81*(1+INDEX(O$30:O$35,MATCH("Инфляция "&amp;$D81,$C$30:$C$35,0)+1))*INDEX(Расчет!O$17:O$19,MATCH($D81&amp;"/RUB",$C$17:$C$19,0))),0)</f>
        <v>0</v>
      </c>
      <c r="P176" s="237">
        <f>IFERROR(IF($D81="RUB",$E81*P81*(1+P$29),$E81*P81*(1+INDEX(P$30:P$35,MATCH("Инфляция "&amp;$D81,$C$30:$C$35,0)+1))*INDEX(Расчет!P$17:P$19,MATCH($D81&amp;"/RUB",$C$17:$C$19,0))),0)</f>
        <v>0</v>
      </c>
      <c r="Q176" s="237">
        <f>IFERROR(IF($D81="RUB",$E81*Q81*(1+Q$29),$E81*Q81*(1+INDEX(Q$30:Q$35,MATCH("Инфляция "&amp;$D81,$C$30:$C$35,0)+1))*INDEX(Расчет!Q$17:Q$19,MATCH($D81&amp;"/RUB",$C$17:$C$19,0))),0)</f>
        <v>0</v>
      </c>
      <c r="R176" s="237">
        <f>IFERROR(IF($D81="RUB",$E81*R81*(1+R$29),$E81*R81*(1+INDEX(R$30:R$35,MATCH("Инфляция "&amp;$D81,$C$30:$C$35,0)+1))*INDEX(Расчет!R$17:R$19,MATCH($D81&amp;"/RUB",$C$17:$C$19,0))),0)</f>
        <v>0</v>
      </c>
      <c r="S176" s="237">
        <f>IFERROR(IF($D81="RUB",$E81*S81*(1+S$29),$E81*S81*(1+INDEX(S$30:S$35,MATCH("Инфляция "&amp;$D81,$C$30:$C$35,0)+1))*INDEX(Расчет!S$17:S$19,MATCH($D81&amp;"/RUB",$C$17:$C$19,0))),0)</f>
        <v>0</v>
      </c>
    </row>
    <row r="177" spans="1:19" s="2" customFormat="1" ht="16.5" x14ac:dyDescent="0.3">
      <c r="A177" s="238"/>
      <c r="B177" s="238"/>
      <c r="C177" s="200" t="s">
        <v>32</v>
      </c>
      <c r="D177" s="242" t="s">
        <v>12</v>
      </c>
      <c r="E177" s="237">
        <f t="shared" si="68"/>
        <v>0</v>
      </c>
      <c r="F177" s="243">
        <f t="shared" si="69"/>
        <v>0</v>
      </c>
      <c r="G177" s="251"/>
      <c r="H177" s="237">
        <f>IFERROR(IF($D82="RUB",$E82*H82*(1+H$29),$E82*H82*(1+INDEX(H$30:H$35,MATCH("Инфляция "&amp;$D82,$C$30:$C$35,0)+1))*INDEX(Расчет!H$17:H$19,MATCH($D82&amp;"/RUB",$C$17:$C$19,0))),0)</f>
        <v>0</v>
      </c>
      <c r="I177" s="237">
        <f>IFERROR(IF($D82="RUB",$E82*I82*(1+I$29),$E82*I82*(1+INDEX(I$30:I$35,MATCH("Инфляция "&amp;$D82,$C$30:$C$35,0)+1))*INDEX(Расчет!I$17:I$19,MATCH($D82&amp;"/RUB",$C$17:$C$19,0))),0)</f>
        <v>0</v>
      </c>
      <c r="J177" s="237">
        <f>IFERROR(IF($D82="RUB",$E82*J82*(1+J$29),$E82*J82*(1+INDEX(J$30:J$35,MATCH("Инфляция "&amp;$D82,$C$30:$C$35,0)+1))*INDEX(Расчет!J$17:J$19,MATCH($D82&amp;"/RUB",$C$17:$C$19,0))),0)</f>
        <v>0</v>
      </c>
      <c r="K177" s="237">
        <f>IFERROR(IF($D82="RUB",$E82*K82*(1+K$29),$E82*K82*(1+INDEX(K$30:K$35,MATCH("Инфляция "&amp;$D82,$C$30:$C$35,0)+1))*INDEX(Расчет!K$17:K$19,MATCH($D82&amp;"/RUB",$C$17:$C$19,0))),0)</f>
        <v>0</v>
      </c>
      <c r="L177" s="237">
        <f>IFERROR(IF($D82="RUB",$E82*L82*(1+L$29),$E82*L82*(1+INDEX(L$30:L$35,MATCH("Инфляция "&amp;$D82,$C$30:$C$35,0)+1))*INDEX(Расчет!L$17:L$19,MATCH($D82&amp;"/RUB",$C$17:$C$19,0))),0)</f>
        <v>0</v>
      </c>
      <c r="M177" s="237">
        <f>IFERROR(IF($D82="RUB",$E82*M82*(1+M$29),$E82*M82*(1+INDEX(M$30:M$35,MATCH("Инфляция "&amp;$D82,$C$30:$C$35,0)+1))*INDEX(Расчет!M$17:M$19,MATCH($D82&amp;"/RUB",$C$17:$C$19,0))),0)</f>
        <v>0</v>
      </c>
      <c r="N177" s="237">
        <f>IFERROR(IF($D82="RUB",$E82*N82*(1+N$29),$E82*N82*(1+INDEX(N$30:N$35,MATCH("Инфляция "&amp;$D82,$C$30:$C$35,0)+1))*INDEX(Расчет!N$17:N$19,MATCH($D82&amp;"/RUB",$C$17:$C$19,0))),0)</f>
        <v>0</v>
      </c>
      <c r="O177" s="237">
        <f>IFERROR(IF($D82="RUB",$E82*O82*(1+O$29),$E82*O82*(1+INDEX(O$30:O$35,MATCH("Инфляция "&amp;$D82,$C$30:$C$35,0)+1))*INDEX(Расчет!O$17:O$19,MATCH($D82&amp;"/RUB",$C$17:$C$19,0))),0)</f>
        <v>0</v>
      </c>
      <c r="P177" s="237">
        <f>IFERROR(IF($D82="RUB",$E82*P82*(1+P$29),$E82*P82*(1+INDEX(P$30:P$35,MATCH("Инфляция "&amp;$D82,$C$30:$C$35,0)+1))*INDEX(Расчет!P$17:P$19,MATCH($D82&amp;"/RUB",$C$17:$C$19,0))),0)</f>
        <v>0</v>
      </c>
      <c r="Q177" s="237">
        <f>IFERROR(IF($D82="RUB",$E82*Q82*(1+Q$29),$E82*Q82*(1+INDEX(Q$30:Q$35,MATCH("Инфляция "&amp;$D82,$C$30:$C$35,0)+1))*INDEX(Расчет!Q$17:Q$19,MATCH($D82&amp;"/RUB",$C$17:$C$19,0))),0)</f>
        <v>0</v>
      </c>
      <c r="R177" s="237">
        <f>IFERROR(IF($D82="RUB",$E82*R82*(1+R$29),$E82*R82*(1+INDEX(R$30:R$35,MATCH("Инфляция "&amp;$D82,$C$30:$C$35,0)+1))*INDEX(Расчет!R$17:R$19,MATCH($D82&amp;"/RUB",$C$17:$C$19,0))),0)</f>
        <v>0</v>
      </c>
      <c r="S177" s="237">
        <f>IFERROR(IF($D82="RUB",$E82*S82*(1+S$29),$E82*S82*(1+INDEX(S$30:S$35,MATCH("Инфляция "&amp;$D82,$C$30:$C$35,0)+1))*INDEX(Расчет!S$17:S$19,MATCH($D82&amp;"/RUB",$C$17:$C$19,0))),0)</f>
        <v>0</v>
      </c>
    </row>
    <row r="178" spans="1:19" s="2" customFormat="1" ht="16.5" x14ac:dyDescent="0.3">
      <c r="A178" s="238"/>
      <c r="B178" s="238"/>
      <c r="C178" s="200" t="s">
        <v>32</v>
      </c>
      <c r="D178" s="242" t="s">
        <v>12</v>
      </c>
      <c r="E178" s="237">
        <f t="shared" si="68"/>
        <v>0</v>
      </c>
      <c r="F178" s="243">
        <f t="shared" si="69"/>
        <v>0</v>
      </c>
      <c r="G178" s="251"/>
      <c r="H178" s="237">
        <f>IFERROR(IF($D83="RUB",$E83*H83*(1+H$29),$E83*H83*(1+INDEX(H$30:H$35,MATCH("Инфляция "&amp;$D83,$C$30:$C$35,0)+1))*INDEX(Расчет!H$17:H$19,MATCH($D83&amp;"/RUB",$C$17:$C$19,0))),0)</f>
        <v>0</v>
      </c>
      <c r="I178" s="237">
        <f>IFERROR(IF($D83="RUB",$E83*I83*(1+I$29),$E83*I83*(1+INDEX(I$30:I$35,MATCH("Инфляция "&amp;$D83,$C$30:$C$35,0)+1))*INDEX(Расчет!I$17:I$19,MATCH($D83&amp;"/RUB",$C$17:$C$19,0))),0)</f>
        <v>0</v>
      </c>
      <c r="J178" s="237">
        <f>IFERROR(IF($D83="RUB",$E83*J83*(1+J$29),$E83*J83*(1+INDEX(J$30:J$35,MATCH("Инфляция "&amp;$D83,$C$30:$C$35,0)+1))*INDEX(Расчет!J$17:J$19,MATCH($D83&amp;"/RUB",$C$17:$C$19,0))),0)</f>
        <v>0</v>
      </c>
      <c r="K178" s="237">
        <f>IFERROR(IF($D83="RUB",$E83*K83*(1+K$29),$E83*K83*(1+INDEX(K$30:K$35,MATCH("Инфляция "&amp;$D83,$C$30:$C$35,0)+1))*INDEX(Расчет!K$17:K$19,MATCH($D83&amp;"/RUB",$C$17:$C$19,0))),0)</f>
        <v>0</v>
      </c>
      <c r="L178" s="237">
        <f>IFERROR(IF($D83="RUB",$E83*L83*(1+L$29),$E83*L83*(1+INDEX(L$30:L$35,MATCH("Инфляция "&amp;$D83,$C$30:$C$35,0)+1))*INDEX(Расчет!L$17:L$19,MATCH($D83&amp;"/RUB",$C$17:$C$19,0))),0)</f>
        <v>0</v>
      </c>
      <c r="M178" s="237">
        <f>IFERROR(IF($D83="RUB",$E83*M83*(1+M$29),$E83*M83*(1+INDEX(M$30:M$35,MATCH("Инфляция "&amp;$D83,$C$30:$C$35,0)+1))*INDEX(Расчет!M$17:M$19,MATCH($D83&amp;"/RUB",$C$17:$C$19,0))),0)</f>
        <v>0</v>
      </c>
      <c r="N178" s="237">
        <f>IFERROR(IF($D83="RUB",$E83*N83*(1+N$29),$E83*N83*(1+INDEX(N$30:N$35,MATCH("Инфляция "&amp;$D83,$C$30:$C$35,0)+1))*INDEX(Расчет!N$17:N$19,MATCH($D83&amp;"/RUB",$C$17:$C$19,0))),0)</f>
        <v>0</v>
      </c>
      <c r="O178" s="237">
        <f>IFERROR(IF($D83="RUB",$E83*O83*(1+O$29),$E83*O83*(1+INDEX(O$30:O$35,MATCH("Инфляция "&amp;$D83,$C$30:$C$35,0)+1))*INDEX(Расчет!O$17:O$19,MATCH($D83&amp;"/RUB",$C$17:$C$19,0))),0)</f>
        <v>0</v>
      </c>
      <c r="P178" s="237">
        <f>IFERROR(IF($D83="RUB",$E83*P83*(1+P$29),$E83*P83*(1+INDEX(P$30:P$35,MATCH("Инфляция "&amp;$D83,$C$30:$C$35,0)+1))*INDEX(Расчет!P$17:P$19,MATCH($D83&amp;"/RUB",$C$17:$C$19,0))),0)</f>
        <v>0</v>
      </c>
      <c r="Q178" s="237">
        <f>IFERROR(IF($D83="RUB",$E83*Q83*(1+Q$29),$E83*Q83*(1+INDEX(Q$30:Q$35,MATCH("Инфляция "&amp;$D83,$C$30:$C$35,0)+1))*INDEX(Расчет!Q$17:Q$19,MATCH($D83&amp;"/RUB",$C$17:$C$19,0))),0)</f>
        <v>0</v>
      </c>
      <c r="R178" s="237">
        <f>IFERROR(IF($D83="RUB",$E83*R83*(1+R$29),$E83*R83*(1+INDEX(R$30:R$35,MATCH("Инфляция "&amp;$D83,$C$30:$C$35,0)+1))*INDEX(Расчет!R$17:R$19,MATCH($D83&amp;"/RUB",$C$17:$C$19,0))),0)</f>
        <v>0</v>
      </c>
      <c r="S178" s="237">
        <f>IFERROR(IF($D83="RUB",$E83*S83*(1+S$29),$E83*S83*(1+INDEX(S$30:S$35,MATCH("Инфляция "&amp;$D83,$C$30:$C$35,0)+1))*INDEX(Расчет!S$17:S$19,MATCH($D83&amp;"/RUB",$C$17:$C$19,0))),0)</f>
        <v>0</v>
      </c>
    </row>
    <row r="179" spans="1:19" s="2" customFormat="1" ht="16.5" x14ac:dyDescent="0.3">
      <c r="A179" s="238"/>
      <c r="B179" s="238"/>
      <c r="C179" s="200" t="s">
        <v>55</v>
      </c>
      <c r="D179" s="242" t="s">
        <v>12</v>
      </c>
      <c r="E179" s="237">
        <f t="shared" ca="1" si="68"/>
        <v>0</v>
      </c>
      <c r="F179" s="243">
        <f t="shared" si="69"/>
        <v>0</v>
      </c>
      <c r="G179" s="251"/>
      <c r="H179" s="237">
        <f ca="1">IFERROR(IF($D84="RUB",$E84*H84*(1+H$29),$E84*H84*(1+INDEX(H$30:H$35,MATCH("Инфляция "&amp;$D84,$C$30:$C$35,0)+1))*INDEX(Расчет!H$17:H$19,MATCH($D84&amp;"/RUB",$C$17:$C$19,0))),0)</f>
        <v>0</v>
      </c>
      <c r="I179" s="237">
        <f ca="1">IFERROR(IF($D84="RUB",$E84*I84*(1+I$29),$E84*I84*(1+INDEX(I$30:I$35,MATCH("Инфляция "&amp;$D84,$C$30:$C$35,0)+1))*INDEX(Расчет!I$17:I$19,MATCH($D84&amp;"/RUB",$C$17:$C$19,0))),0)</f>
        <v>0</v>
      </c>
      <c r="J179" s="237">
        <f ca="1">IFERROR(IF($D84="RUB",$E84*J84*(1+J$29),$E84*J84*(1+INDEX(J$30:J$35,MATCH("Инфляция "&amp;$D84,$C$30:$C$35,0)+1))*INDEX(Расчет!J$17:J$19,MATCH($D84&amp;"/RUB",$C$17:$C$19,0))),0)</f>
        <v>0</v>
      </c>
      <c r="K179" s="237">
        <f ca="1">IFERROR(IF($D84="RUB",$E84*K84*(1+K$29),$E84*K84*(1+INDEX(K$30:K$35,MATCH("Инфляция "&amp;$D84,$C$30:$C$35,0)+1))*INDEX(Расчет!K$17:K$19,MATCH($D84&amp;"/RUB",$C$17:$C$19,0))),0)</f>
        <v>0</v>
      </c>
      <c r="L179" s="237">
        <f ca="1">IFERROR(IF($D84="RUB",$E84*L84*(1+L$29),$E84*L84*(1+INDEX(L$30:L$35,MATCH("Инфляция "&amp;$D84,$C$30:$C$35,0)+1))*INDEX(Расчет!L$17:L$19,MATCH($D84&amp;"/RUB",$C$17:$C$19,0))),0)</f>
        <v>0</v>
      </c>
      <c r="M179" s="237">
        <f ca="1">IFERROR(IF($D84="RUB",$E84*M84*(1+M$29),$E84*M84*(1+INDEX(M$30:M$35,MATCH("Инфляция "&amp;$D84,$C$30:$C$35,0)+1))*INDEX(Расчет!M$17:M$19,MATCH($D84&amp;"/RUB",$C$17:$C$19,0))),0)</f>
        <v>0</v>
      </c>
      <c r="N179" s="237">
        <f ca="1">IFERROR(IF($D84="RUB",$E84*N84*(1+N$29),$E84*N84*(1+INDEX(N$30:N$35,MATCH("Инфляция "&amp;$D84,$C$30:$C$35,0)+1))*INDEX(Расчет!N$17:N$19,MATCH($D84&amp;"/RUB",$C$17:$C$19,0))),0)</f>
        <v>0</v>
      </c>
      <c r="O179" s="237">
        <f ca="1">IFERROR(IF($D84="RUB",$E84*O84*(1+O$29),$E84*O84*(1+INDEX(O$30:O$35,MATCH("Инфляция "&amp;$D84,$C$30:$C$35,0)+1))*INDEX(Расчет!O$17:O$19,MATCH($D84&amp;"/RUB",$C$17:$C$19,0))),0)</f>
        <v>0</v>
      </c>
      <c r="P179" s="237">
        <f ca="1">IFERROR(IF($D84="RUB",$E84*P84*(1+P$29),$E84*P84*(1+INDEX(P$30:P$35,MATCH("Инфляция "&amp;$D84,$C$30:$C$35,0)+1))*INDEX(Расчет!P$17:P$19,MATCH($D84&amp;"/RUB",$C$17:$C$19,0))),0)</f>
        <v>0</v>
      </c>
      <c r="Q179" s="237">
        <f ca="1">IFERROR(IF($D84="RUB",$E84*Q84*(1+Q$29),$E84*Q84*(1+INDEX(Q$30:Q$35,MATCH("Инфляция "&amp;$D84,$C$30:$C$35,0)+1))*INDEX(Расчет!Q$17:Q$19,MATCH($D84&amp;"/RUB",$C$17:$C$19,0))),0)</f>
        <v>0</v>
      </c>
      <c r="R179" s="237">
        <f ca="1">IFERROR(IF($D84="RUB",$E84*R84*(1+R$29),$E84*R84*(1+INDEX(R$30:R$35,MATCH("Инфляция "&amp;$D84,$C$30:$C$35,0)+1))*INDEX(Расчет!R$17:R$19,MATCH($D84&amp;"/RUB",$C$17:$C$19,0))),0)</f>
        <v>0</v>
      </c>
      <c r="S179" s="237">
        <f ca="1">IFERROR(IF($D84="RUB",$E84*S84*(1+S$29),$E84*S84*(1+INDEX(S$30:S$35,MATCH("Инфляция "&amp;$D84,$C$30:$C$35,0)+1))*INDEX(Расчет!S$17:S$19,MATCH($D84&amp;"/RUB",$C$17:$C$19,0))),0)</f>
        <v>0</v>
      </c>
    </row>
    <row r="180" spans="1:19" s="2" customFormat="1" ht="16.5" x14ac:dyDescent="0.3">
      <c r="A180" s="238"/>
      <c r="B180" s="238"/>
      <c r="C180" s="200" t="s">
        <v>55</v>
      </c>
      <c r="D180" s="242" t="s">
        <v>12</v>
      </c>
      <c r="E180" s="237">
        <f t="shared" si="68"/>
        <v>7835230.1934271976</v>
      </c>
      <c r="F180" s="243">
        <f t="shared" si="69"/>
        <v>1.5384615384615385E-3</v>
      </c>
      <c r="G180" s="251"/>
      <c r="H180" s="237">
        <f>IFERROR(IF($D85="RUB",$E85*H85*(1+H$29),$E85*H85*(1+INDEX(H$30:H$35,MATCH("Инфляция "&amp;$D85,$C$30:$C$35,0)+1))*INDEX(Расчет!H$17:H$19,MATCH($D85&amp;"/RUB",$C$17:$C$19,0))),0)</f>
        <v>2330445.7743421071</v>
      </c>
      <c r="I180" s="237">
        <f>IFERROR(IF($D85="RUB",$E85*I85*(1+I$29),$E85*I85*(1+INDEX(I$30:I$35,MATCH("Инфляция "&amp;$D85,$C$30:$C$35,0)+1))*INDEX(Расчет!I$17:I$19,MATCH($D85&amp;"/RUB",$C$17:$C$19,0))),0)</f>
        <v>288778.72515564749</v>
      </c>
      <c r="J180" s="237">
        <f>IFERROR(IF($D85="RUB",$E85*J85*(1+J$29),$E85*J85*(1+INDEX(J$30:J$35,MATCH("Инфляция "&amp;$D85,$C$30:$C$35,0)+1))*INDEX(Расчет!J$17:J$19,MATCH($D85&amp;"/RUB",$C$17:$C$19,0))),0)</f>
        <v>2338149.9724795967</v>
      </c>
      <c r="K180" s="237">
        <f>IFERROR(IF($D85="RUB",$E85*K85*(1+K$29),$E85*K85*(1+INDEX(K$30:K$35,MATCH("Инфляция "&amp;$D85,$C$30:$C$35,0)+1))*INDEX(Расчет!K$17:K$19,MATCH($D85&amp;"/RUB",$C$17:$C$19,0))),0)</f>
        <v>289733.39594910061</v>
      </c>
      <c r="L180" s="237">
        <f>IFERROR(IF($D85="RUB",$E85*L85*(1+L$29),$E85*L85*(1+INDEX(L$30:L$35,MATCH("Инфляция "&amp;$D85,$C$30:$C$35,0)+1))*INDEX(Расчет!L$17:L$19,MATCH($D85&amp;"/RUB",$C$17:$C$19,0))),0)</f>
        <v>2345879.6398511678</v>
      </c>
      <c r="M180" s="237">
        <f>IFERROR(IF($D85="RUB",$E85*M85*(1+M$29),$E85*M85*(1+INDEX(M$30:M$35,MATCH("Инфляция "&amp;$D85,$C$30:$C$35,0)+1))*INDEX(Расчет!M$17:M$19,MATCH($D85&amp;"/RUB",$C$17:$C$19,0))),0)</f>
        <v>242242.68564957753</v>
      </c>
      <c r="N180" s="237">
        <f>IFERROR(IF($D85="RUB",$E85*N85*(1+N$29),$E85*N85*(1+INDEX(N$30:N$35,MATCH("Инфляция "&amp;$D85,$C$30:$C$35,0)+1))*INDEX(Расчет!N$17:N$19,MATCH($D85&amp;"/RUB",$C$17:$C$19,0))),0)</f>
        <v>0</v>
      </c>
      <c r="O180" s="237">
        <f>IFERROR(IF($D85="RUB",$E85*O85*(1+O$29),$E85*O85*(1+INDEX(O$30:O$35,MATCH("Инфляция "&amp;$D85,$C$30:$C$35,0)+1))*INDEX(Расчет!O$17:O$19,MATCH($D85&amp;"/RUB",$C$17:$C$19,0))),0)</f>
        <v>0</v>
      </c>
      <c r="P180" s="237">
        <f>IFERROR(IF($D85="RUB",$E85*P85*(1+P$29),$E85*P85*(1+INDEX(P$30:P$35,MATCH("Инфляция "&amp;$D85,$C$30:$C$35,0)+1))*INDEX(Расчет!P$17:P$19,MATCH($D85&amp;"/RUB",$C$17:$C$19,0))),0)</f>
        <v>0</v>
      </c>
      <c r="Q180" s="237">
        <f>IFERROR(IF($D85="RUB",$E85*Q85*(1+Q$29),$E85*Q85*(1+INDEX(Q$30:Q$35,MATCH("Инфляция "&amp;$D85,$C$30:$C$35,0)+1))*INDEX(Расчет!Q$17:Q$19,MATCH($D85&amp;"/RUB",$C$17:$C$19,0))),0)</f>
        <v>0</v>
      </c>
      <c r="R180" s="237">
        <f>IFERROR(IF($D85="RUB",$E85*R85*(1+R$29),$E85*R85*(1+INDEX(R$30:R$35,MATCH("Инфляция "&amp;$D85,$C$30:$C$35,0)+1))*INDEX(Расчет!R$17:R$19,MATCH($D85&amp;"/RUB",$C$17:$C$19,0))),0)</f>
        <v>0</v>
      </c>
      <c r="S180" s="237">
        <f>IFERROR(IF($D85="RUB",$E85*S85*(1+S$29),$E85*S85*(1+INDEX(S$30:S$35,MATCH("Инфляция "&amp;$D85,$C$30:$C$35,0)+1))*INDEX(Расчет!S$17:S$19,MATCH($D85&amp;"/RUB",$C$17:$C$19,0))),0)</f>
        <v>0</v>
      </c>
    </row>
    <row r="181" spans="1:19" s="2" customFormat="1" ht="16.5" x14ac:dyDescent="0.3">
      <c r="A181" s="238"/>
      <c r="B181" s="238"/>
      <c r="C181" s="200" t="s">
        <v>55</v>
      </c>
      <c r="D181" s="242" t="s">
        <v>12</v>
      </c>
      <c r="E181" s="237">
        <f t="shared" si="68"/>
        <v>0</v>
      </c>
      <c r="F181" s="243">
        <f t="shared" si="69"/>
        <v>0</v>
      </c>
      <c r="G181" s="251"/>
      <c r="H181" s="237">
        <f>IFERROR(IF($D86="RUB",$E86*H86*(1+H$29),$E86*H86*(1+INDEX(H$30:H$35,MATCH("Инфляция "&amp;$D86,$C$30:$C$35,0)+1))*INDEX(Расчет!H$17:H$19,MATCH($D86&amp;"/RUB",$C$17:$C$19,0))),0)</f>
        <v>0</v>
      </c>
      <c r="I181" s="237">
        <f>IFERROR(IF($D86="RUB",$E86*I86*(1+I$29),$E86*I86*(1+INDEX(I$30:I$35,MATCH("Инфляция "&amp;$D86,$C$30:$C$35,0)+1))*INDEX(Расчет!I$17:I$19,MATCH($D86&amp;"/RUB",$C$17:$C$19,0))),0)</f>
        <v>0</v>
      </c>
      <c r="J181" s="237">
        <f>IFERROR(IF($D86="RUB",$E86*J86*(1+J$29),$E86*J86*(1+INDEX(J$30:J$35,MATCH("Инфляция "&amp;$D86,$C$30:$C$35,0)+1))*INDEX(Расчет!J$17:J$19,MATCH($D86&amp;"/RUB",$C$17:$C$19,0))),0)</f>
        <v>0</v>
      </c>
      <c r="K181" s="237">
        <f>IFERROR(IF($D86="RUB",$E86*K86*(1+K$29),$E86*K86*(1+INDEX(K$30:K$35,MATCH("Инфляция "&amp;$D86,$C$30:$C$35,0)+1))*INDEX(Расчет!K$17:K$19,MATCH($D86&amp;"/RUB",$C$17:$C$19,0))),0)</f>
        <v>0</v>
      </c>
      <c r="L181" s="237">
        <f>IFERROR(IF($D86="RUB",$E86*L86*(1+L$29),$E86*L86*(1+INDEX(L$30:L$35,MATCH("Инфляция "&amp;$D86,$C$30:$C$35,0)+1))*INDEX(Расчет!L$17:L$19,MATCH($D86&amp;"/RUB",$C$17:$C$19,0))),0)</f>
        <v>0</v>
      </c>
      <c r="M181" s="237">
        <f>IFERROR(IF($D86="RUB",$E86*M86*(1+M$29),$E86*M86*(1+INDEX(M$30:M$35,MATCH("Инфляция "&amp;$D86,$C$30:$C$35,0)+1))*INDEX(Расчет!M$17:M$19,MATCH($D86&amp;"/RUB",$C$17:$C$19,0))),0)</f>
        <v>0</v>
      </c>
      <c r="N181" s="237">
        <f>IFERROR(IF($D86="RUB",$E86*N86*(1+N$29),$E86*N86*(1+INDEX(N$30:N$35,MATCH("Инфляция "&amp;$D86,$C$30:$C$35,0)+1))*INDEX(Расчет!N$17:N$19,MATCH($D86&amp;"/RUB",$C$17:$C$19,0))),0)</f>
        <v>0</v>
      </c>
      <c r="O181" s="237">
        <f>IFERROR(IF($D86="RUB",$E86*O86*(1+O$29),$E86*O86*(1+INDEX(O$30:O$35,MATCH("Инфляция "&amp;$D86,$C$30:$C$35,0)+1))*INDEX(Расчет!O$17:O$19,MATCH($D86&amp;"/RUB",$C$17:$C$19,0))),0)</f>
        <v>0</v>
      </c>
      <c r="P181" s="237">
        <f>IFERROR(IF($D86="RUB",$E86*P86*(1+P$29),$E86*P86*(1+INDEX(P$30:P$35,MATCH("Инфляция "&amp;$D86,$C$30:$C$35,0)+1))*INDEX(Расчет!P$17:P$19,MATCH($D86&amp;"/RUB",$C$17:$C$19,0))),0)</f>
        <v>0</v>
      </c>
      <c r="Q181" s="237">
        <f>IFERROR(IF($D86="RUB",$E86*Q86*(1+Q$29),$E86*Q86*(1+INDEX(Q$30:Q$35,MATCH("Инфляция "&amp;$D86,$C$30:$C$35,0)+1))*INDEX(Расчет!Q$17:Q$19,MATCH($D86&amp;"/RUB",$C$17:$C$19,0))),0)</f>
        <v>0</v>
      </c>
      <c r="R181" s="237">
        <f>IFERROR(IF($D86="RUB",$E86*R86*(1+R$29),$E86*R86*(1+INDEX(R$30:R$35,MATCH("Инфляция "&amp;$D86,$C$30:$C$35,0)+1))*INDEX(Расчет!R$17:R$19,MATCH($D86&amp;"/RUB",$C$17:$C$19,0))),0)</f>
        <v>0</v>
      </c>
      <c r="S181" s="237">
        <f>IFERROR(IF($D86="RUB",$E86*S86*(1+S$29),$E86*S86*(1+INDEX(S$30:S$35,MATCH("Инфляция "&amp;$D86,$C$30:$C$35,0)+1))*INDEX(Расчет!S$17:S$19,MATCH($D86&amp;"/RUB",$C$17:$C$19,0))),0)</f>
        <v>0</v>
      </c>
    </row>
    <row r="182" spans="1:19" s="2" customFormat="1" ht="16.5" x14ac:dyDescent="0.3">
      <c r="A182" s="238"/>
      <c r="B182" s="238"/>
      <c r="C182" s="200" t="s">
        <v>55</v>
      </c>
      <c r="D182" s="242" t="s">
        <v>12</v>
      </c>
      <c r="E182" s="237">
        <f t="shared" si="68"/>
        <v>0</v>
      </c>
      <c r="F182" s="243">
        <f t="shared" si="69"/>
        <v>0</v>
      </c>
      <c r="G182" s="251"/>
      <c r="H182" s="237">
        <f>IFERROR(IF($D87="RUB",$E87*H87*(1+H$29),$E87*H87*(1+INDEX(H$30:H$35,MATCH("Инфляция "&amp;$D87,$C$30:$C$35,0)+1))*INDEX(Расчет!H$17:H$19,MATCH($D87&amp;"/RUB",$C$17:$C$19,0))),0)</f>
        <v>0</v>
      </c>
      <c r="I182" s="237">
        <f>IFERROR(IF($D87="RUB",$E87*I87*(1+I$29),$E87*I87*(1+INDEX(I$30:I$35,MATCH("Инфляция "&amp;$D87,$C$30:$C$35,0)+1))*INDEX(Расчет!I$17:I$19,MATCH($D87&amp;"/RUB",$C$17:$C$19,0))),0)</f>
        <v>0</v>
      </c>
      <c r="J182" s="237">
        <f>IFERROR(IF($D87="RUB",$E87*J87*(1+J$29),$E87*J87*(1+INDEX(J$30:J$35,MATCH("Инфляция "&amp;$D87,$C$30:$C$35,0)+1))*INDEX(Расчет!J$17:J$19,MATCH($D87&amp;"/RUB",$C$17:$C$19,0))),0)</f>
        <v>0</v>
      </c>
      <c r="K182" s="237">
        <f>IFERROR(IF($D87="RUB",$E87*K87*(1+K$29),$E87*K87*(1+INDEX(K$30:K$35,MATCH("Инфляция "&amp;$D87,$C$30:$C$35,0)+1))*INDEX(Расчет!K$17:K$19,MATCH($D87&amp;"/RUB",$C$17:$C$19,0))),0)</f>
        <v>0</v>
      </c>
      <c r="L182" s="237">
        <f>IFERROR(IF($D87="RUB",$E87*L87*(1+L$29),$E87*L87*(1+INDEX(L$30:L$35,MATCH("Инфляция "&amp;$D87,$C$30:$C$35,0)+1))*INDEX(Расчет!L$17:L$19,MATCH($D87&amp;"/RUB",$C$17:$C$19,0))),0)</f>
        <v>0</v>
      </c>
      <c r="M182" s="237">
        <f>IFERROR(IF($D87="RUB",$E87*M87*(1+M$29),$E87*M87*(1+INDEX(M$30:M$35,MATCH("Инфляция "&amp;$D87,$C$30:$C$35,0)+1))*INDEX(Расчет!M$17:M$19,MATCH($D87&amp;"/RUB",$C$17:$C$19,0))),0)</f>
        <v>0</v>
      </c>
      <c r="N182" s="237">
        <f>IFERROR(IF($D87="RUB",$E87*N87*(1+N$29),$E87*N87*(1+INDEX(N$30:N$35,MATCH("Инфляция "&amp;$D87,$C$30:$C$35,0)+1))*INDEX(Расчет!N$17:N$19,MATCH($D87&amp;"/RUB",$C$17:$C$19,0))),0)</f>
        <v>0</v>
      </c>
      <c r="O182" s="237">
        <f>IFERROR(IF($D87="RUB",$E87*O87*(1+O$29),$E87*O87*(1+INDEX(O$30:O$35,MATCH("Инфляция "&amp;$D87,$C$30:$C$35,0)+1))*INDEX(Расчет!O$17:O$19,MATCH($D87&amp;"/RUB",$C$17:$C$19,0))),0)</f>
        <v>0</v>
      </c>
      <c r="P182" s="237">
        <f>IFERROR(IF($D87="RUB",$E87*P87*(1+P$29),$E87*P87*(1+INDEX(P$30:P$35,MATCH("Инфляция "&amp;$D87,$C$30:$C$35,0)+1))*INDEX(Расчет!P$17:P$19,MATCH($D87&amp;"/RUB",$C$17:$C$19,0))),0)</f>
        <v>0</v>
      </c>
      <c r="Q182" s="237">
        <f>IFERROR(IF($D87="RUB",$E87*Q87*(1+Q$29),$E87*Q87*(1+INDEX(Q$30:Q$35,MATCH("Инфляция "&amp;$D87,$C$30:$C$35,0)+1))*INDEX(Расчет!Q$17:Q$19,MATCH($D87&amp;"/RUB",$C$17:$C$19,0))),0)</f>
        <v>0</v>
      </c>
      <c r="R182" s="237">
        <f>IFERROR(IF($D87="RUB",$E87*R87*(1+R$29),$E87*R87*(1+INDEX(R$30:R$35,MATCH("Инфляция "&amp;$D87,$C$30:$C$35,0)+1))*INDEX(Расчет!R$17:R$19,MATCH($D87&amp;"/RUB",$C$17:$C$19,0))),0)</f>
        <v>0</v>
      </c>
      <c r="S182" s="237">
        <f>IFERROR(IF($D87="RUB",$E87*S87*(1+S$29),$E87*S87*(1+INDEX(S$30:S$35,MATCH("Инфляция "&amp;$D87,$C$30:$C$35,0)+1))*INDEX(Расчет!S$17:S$19,MATCH($D87&amp;"/RUB",$C$17:$C$19,0))),0)</f>
        <v>0</v>
      </c>
    </row>
    <row r="183" spans="1:19" s="2" customFormat="1" ht="16.5" x14ac:dyDescent="0.3">
      <c r="A183" s="238"/>
      <c r="B183" s="238"/>
      <c r="C183" s="200" t="s">
        <v>108</v>
      </c>
      <c r="D183" s="242" t="s">
        <v>12</v>
      </c>
      <c r="E183" s="237">
        <f t="shared" ca="1" si="68"/>
        <v>2141490.2557093347</v>
      </c>
      <c r="F183" s="243">
        <f t="shared" si="69"/>
        <v>0</v>
      </c>
      <c r="G183" s="251"/>
      <c r="H183" s="237">
        <f ca="1">IFERROR(IF($D88="RUB",$E88*H88*(1+H$29),$E88*H88*(1+INDEX(H$30:H$35,MATCH("Инфляция "&amp;$D88,$C$30:$C$35,0)+1))*INDEX(Расчет!H$17:H$19,MATCH($D88&amp;"/RUB",$C$17:$C$19,0))),0)</f>
        <v>705911.7281102204</v>
      </c>
      <c r="I183" s="237">
        <f ca="1">IFERROR(IF($D88="RUB",$E88*I88*(1+I$29),$E88*I88*(1+INDEX(I$30:I$35,MATCH("Инфляция "&amp;$D88,$C$30:$C$35,0)+1))*INDEX(Расчет!I$17:I$19,MATCH($D88&amp;"/RUB",$C$17:$C$19,0))),0)</f>
        <v>0</v>
      </c>
      <c r="J183" s="237">
        <f ca="1">IFERROR(IF($D88="RUB",$E88*J88*(1+J$29),$E88*J88*(1+INDEX(J$30:J$35,MATCH("Инфляция "&amp;$D88,$C$30:$C$35,0)+1))*INDEX(Расчет!J$17:J$19,MATCH($D88&amp;"/RUB",$C$17:$C$19,0))),0)</f>
        <v>713800.69731505821</v>
      </c>
      <c r="K183" s="237">
        <f ca="1">IFERROR(IF($D88="RUB",$E88*K88*(1+K$29),$E88*K88*(1+INDEX(K$30:K$35,MATCH("Инфляция "&amp;$D88,$C$30:$C$35,0)+1))*INDEX(Расчет!K$17:K$19,MATCH($D88&amp;"/RUB",$C$17:$C$19,0))),0)</f>
        <v>0</v>
      </c>
      <c r="L183" s="237">
        <f ca="1">IFERROR(IF($D88="RUB",$E88*L88*(1+L$29),$E88*L88*(1+INDEX(L$30:L$35,MATCH("Инфляция "&amp;$D88,$C$30:$C$35,0)+1))*INDEX(Расчет!L$17:L$19,MATCH($D88&amp;"/RUB",$C$17:$C$19,0))),0)</f>
        <v>721777.83028405614</v>
      </c>
      <c r="M183" s="237">
        <f ca="1">IFERROR(IF($D88="RUB",$E88*M88*(1+M$29),$E88*M88*(1+INDEX(M$30:M$35,MATCH("Инфляция "&amp;$D88,$C$30:$C$35,0)+1))*INDEX(Расчет!M$17:M$19,MATCH($D88&amp;"/RUB",$C$17:$C$19,0))),0)</f>
        <v>0</v>
      </c>
      <c r="N183" s="237">
        <f ca="1">IFERROR(IF($D88="RUB",$E88*N88*(1+N$29),$E88*N88*(1+INDEX(N$30:N$35,MATCH("Инфляция "&amp;$D88,$C$30:$C$35,0)+1))*INDEX(Расчет!N$17:N$19,MATCH($D88&amp;"/RUB",$C$17:$C$19,0))),0)</f>
        <v>0</v>
      </c>
      <c r="O183" s="237">
        <f ca="1">IFERROR(IF($D88="RUB",$E88*O88*(1+O$29),$E88*O88*(1+INDEX(O$30:O$35,MATCH("Инфляция "&amp;$D88,$C$30:$C$35,0)+1))*INDEX(Расчет!O$17:O$19,MATCH($D88&amp;"/RUB",$C$17:$C$19,0))),0)</f>
        <v>0</v>
      </c>
      <c r="P183" s="237">
        <f ca="1">IFERROR(IF($D88="RUB",$E88*P88*(1+P$29),$E88*P88*(1+INDEX(P$30:P$35,MATCH("Инфляция "&amp;$D88,$C$30:$C$35,0)+1))*INDEX(Расчет!P$17:P$19,MATCH($D88&amp;"/RUB",$C$17:$C$19,0))),0)</f>
        <v>0</v>
      </c>
      <c r="Q183" s="237">
        <f ca="1">IFERROR(IF($D88="RUB",$E88*Q88*(1+Q$29),$E88*Q88*(1+INDEX(Q$30:Q$35,MATCH("Инфляция "&amp;$D88,$C$30:$C$35,0)+1))*INDEX(Расчет!Q$17:Q$19,MATCH($D88&amp;"/RUB",$C$17:$C$19,0))),0)</f>
        <v>0</v>
      </c>
      <c r="R183" s="237">
        <f ca="1">IFERROR(IF($D88="RUB",$E88*R88*(1+R$29),$E88*R88*(1+INDEX(R$30:R$35,MATCH("Инфляция "&amp;$D88,$C$30:$C$35,0)+1))*INDEX(Расчет!R$17:R$19,MATCH($D88&amp;"/RUB",$C$17:$C$19,0))),0)</f>
        <v>0</v>
      </c>
      <c r="S183" s="237">
        <f ca="1">IFERROR(IF($D88="RUB",$E88*S88*(1+S$29),$E88*S88*(1+INDEX(S$30:S$35,MATCH("Инфляция "&amp;$D88,$C$30:$C$35,0)+1))*INDEX(Расчет!S$17:S$19,MATCH($D88&amp;"/RUB",$C$17:$C$19,0))),0)</f>
        <v>0</v>
      </c>
    </row>
    <row r="184" spans="1:19" s="2" customFormat="1" ht="16.5" x14ac:dyDescent="0.3">
      <c r="A184" s="238"/>
      <c r="B184" s="238"/>
      <c r="C184" s="200" t="s">
        <v>108</v>
      </c>
      <c r="D184" s="242" t="s">
        <v>12</v>
      </c>
      <c r="E184" s="237">
        <f t="shared" si="68"/>
        <v>0</v>
      </c>
      <c r="F184" s="243">
        <f t="shared" si="69"/>
        <v>0</v>
      </c>
      <c r="G184" s="251"/>
      <c r="H184" s="237">
        <f>IFERROR(IF($D89="RUB",$E89*H89*(1+H$29),$E89*H89*(1+INDEX(H$30:H$35,MATCH("Инфляция "&amp;$D89,$C$30:$C$35,0)+1))*INDEX(Расчет!H$17:H$19,MATCH($D89&amp;"/RUB",$C$17:$C$19,0))),0)</f>
        <v>0</v>
      </c>
      <c r="I184" s="237">
        <f>IFERROR(IF($D89="RUB",$E89*I89*(1+I$29),$E89*I89*(1+INDEX(I$30:I$35,MATCH("Инфляция "&amp;$D89,$C$30:$C$35,0)+1))*INDEX(Расчет!I$17:I$19,MATCH($D89&amp;"/RUB",$C$17:$C$19,0))),0)</f>
        <v>0</v>
      </c>
      <c r="J184" s="237">
        <f>IFERROR(IF($D89="RUB",$E89*J89*(1+J$29),$E89*J89*(1+INDEX(J$30:J$35,MATCH("Инфляция "&amp;$D89,$C$30:$C$35,0)+1))*INDEX(Расчет!J$17:J$19,MATCH($D89&amp;"/RUB",$C$17:$C$19,0))),0)</f>
        <v>0</v>
      </c>
      <c r="K184" s="237">
        <f>IFERROR(IF($D89="RUB",$E89*K89*(1+K$29),$E89*K89*(1+INDEX(K$30:K$35,MATCH("Инфляция "&amp;$D89,$C$30:$C$35,0)+1))*INDEX(Расчет!K$17:K$19,MATCH($D89&amp;"/RUB",$C$17:$C$19,0))),0)</f>
        <v>0</v>
      </c>
      <c r="L184" s="237">
        <f>IFERROR(IF($D89="RUB",$E89*L89*(1+L$29),$E89*L89*(1+INDEX(L$30:L$35,MATCH("Инфляция "&amp;$D89,$C$30:$C$35,0)+1))*INDEX(Расчет!L$17:L$19,MATCH($D89&amp;"/RUB",$C$17:$C$19,0))),0)</f>
        <v>0</v>
      </c>
      <c r="M184" s="237">
        <f>IFERROR(IF($D89="RUB",$E89*M89*(1+M$29),$E89*M89*(1+INDEX(M$30:M$35,MATCH("Инфляция "&amp;$D89,$C$30:$C$35,0)+1))*INDEX(Расчет!M$17:M$19,MATCH($D89&amp;"/RUB",$C$17:$C$19,0))),0)</f>
        <v>0</v>
      </c>
      <c r="N184" s="237">
        <f>IFERROR(IF($D89="RUB",$E89*N89*(1+N$29),$E89*N89*(1+INDEX(N$30:N$35,MATCH("Инфляция "&amp;$D89,$C$30:$C$35,0)+1))*INDEX(Расчет!N$17:N$19,MATCH($D89&amp;"/RUB",$C$17:$C$19,0))),0)</f>
        <v>0</v>
      </c>
      <c r="O184" s="237">
        <f>IFERROR(IF($D89="RUB",$E89*O89*(1+O$29),$E89*O89*(1+INDEX(O$30:O$35,MATCH("Инфляция "&amp;$D89,$C$30:$C$35,0)+1))*INDEX(Расчет!O$17:O$19,MATCH($D89&amp;"/RUB",$C$17:$C$19,0))),0)</f>
        <v>0</v>
      </c>
      <c r="P184" s="237">
        <f>IFERROR(IF($D89="RUB",$E89*P89*(1+P$29),$E89*P89*(1+INDEX(P$30:P$35,MATCH("Инфляция "&amp;$D89,$C$30:$C$35,0)+1))*INDEX(Расчет!P$17:P$19,MATCH($D89&amp;"/RUB",$C$17:$C$19,0))),0)</f>
        <v>0</v>
      </c>
      <c r="Q184" s="237">
        <f>IFERROR(IF($D89="RUB",$E89*Q89*(1+Q$29),$E89*Q89*(1+INDEX(Q$30:Q$35,MATCH("Инфляция "&amp;$D89,$C$30:$C$35,0)+1))*INDEX(Расчет!Q$17:Q$19,MATCH($D89&amp;"/RUB",$C$17:$C$19,0))),0)</f>
        <v>0</v>
      </c>
      <c r="R184" s="237">
        <f>IFERROR(IF($D89="RUB",$E89*R89*(1+R$29),$E89*R89*(1+INDEX(R$30:R$35,MATCH("Инфляция "&amp;$D89,$C$30:$C$35,0)+1))*INDEX(Расчет!R$17:R$19,MATCH($D89&amp;"/RUB",$C$17:$C$19,0))),0)</f>
        <v>0</v>
      </c>
      <c r="S184" s="237">
        <f>IFERROR(IF($D89="RUB",$E89*S89*(1+S$29),$E89*S89*(1+INDEX(S$30:S$35,MATCH("Инфляция "&amp;$D89,$C$30:$C$35,0)+1))*INDEX(Расчет!S$17:S$19,MATCH($D89&amp;"/RUB",$C$17:$C$19,0))),0)</f>
        <v>0</v>
      </c>
    </row>
    <row r="185" spans="1:19" s="2" customFormat="1" ht="16.5" x14ac:dyDescent="0.3">
      <c r="A185" s="238"/>
      <c r="B185" s="238"/>
      <c r="C185" s="200" t="s">
        <v>108</v>
      </c>
      <c r="D185" s="242" t="s">
        <v>12</v>
      </c>
      <c r="E185" s="237">
        <f t="shared" si="68"/>
        <v>0</v>
      </c>
      <c r="F185" s="243">
        <f t="shared" si="69"/>
        <v>0</v>
      </c>
      <c r="G185" s="251"/>
      <c r="H185" s="237">
        <f>IFERROR(IF($D90="RUB",$E90*H90*(1+H$29),$E90*H90*(1+INDEX(H$30:H$35,MATCH("Инфляция "&amp;$D90,$C$30:$C$35,0)+1))*INDEX(Расчет!H$17:H$19,MATCH($D90&amp;"/RUB",$C$17:$C$19,0))),0)</f>
        <v>0</v>
      </c>
      <c r="I185" s="237">
        <f>IFERROR(IF($D90="RUB",$E90*I90*(1+I$29),$E90*I90*(1+INDEX(I$30:I$35,MATCH("Инфляция "&amp;$D90,$C$30:$C$35,0)+1))*INDEX(Расчет!I$17:I$19,MATCH($D90&amp;"/RUB",$C$17:$C$19,0))),0)</f>
        <v>0</v>
      </c>
      <c r="J185" s="237">
        <f>IFERROR(IF($D90="RUB",$E90*J90*(1+J$29),$E90*J90*(1+INDEX(J$30:J$35,MATCH("Инфляция "&amp;$D90,$C$30:$C$35,0)+1))*INDEX(Расчет!J$17:J$19,MATCH($D90&amp;"/RUB",$C$17:$C$19,0))),0)</f>
        <v>0</v>
      </c>
      <c r="K185" s="237">
        <f>IFERROR(IF($D90="RUB",$E90*K90*(1+K$29),$E90*K90*(1+INDEX(K$30:K$35,MATCH("Инфляция "&amp;$D90,$C$30:$C$35,0)+1))*INDEX(Расчет!K$17:K$19,MATCH($D90&amp;"/RUB",$C$17:$C$19,0))),0)</f>
        <v>0</v>
      </c>
      <c r="L185" s="237">
        <f>IFERROR(IF($D90="RUB",$E90*L90*(1+L$29),$E90*L90*(1+INDEX(L$30:L$35,MATCH("Инфляция "&amp;$D90,$C$30:$C$35,0)+1))*INDEX(Расчет!L$17:L$19,MATCH($D90&amp;"/RUB",$C$17:$C$19,0))),0)</f>
        <v>0</v>
      </c>
      <c r="M185" s="237">
        <f>IFERROR(IF($D90="RUB",$E90*M90*(1+M$29),$E90*M90*(1+INDEX(M$30:M$35,MATCH("Инфляция "&amp;$D90,$C$30:$C$35,0)+1))*INDEX(Расчет!M$17:M$19,MATCH($D90&amp;"/RUB",$C$17:$C$19,0))),0)</f>
        <v>0</v>
      </c>
      <c r="N185" s="237">
        <f>IFERROR(IF($D90="RUB",$E90*N90*(1+N$29),$E90*N90*(1+INDEX(N$30:N$35,MATCH("Инфляция "&amp;$D90,$C$30:$C$35,0)+1))*INDEX(Расчет!N$17:N$19,MATCH($D90&amp;"/RUB",$C$17:$C$19,0))),0)</f>
        <v>0</v>
      </c>
      <c r="O185" s="237">
        <f>IFERROR(IF($D90="RUB",$E90*O90*(1+O$29),$E90*O90*(1+INDEX(O$30:O$35,MATCH("Инфляция "&amp;$D90,$C$30:$C$35,0)+1))*INDEX(Расчет!O$17:O$19,MATCH($D90&amp;"/RUB",$C$17:$C$19,0))),0)</f>
        <v>0</v>
      </c>
      <c r="P185" s="237">
        <f>IFERROR(IF($D90="RUB",$E90*P90*(1+P$29),$E90*P90*(1+INDEX(P$30:P$35,MATCH("Инфляция "&amp;$D90,$C$30:$C$35,0)+1))*INDEX(Расчет!P$17:P$19,MATCH($D90&amp;"/RUB",$C$17:$C$19,0))),0)</f>
        <v>0</v>
      </c>
      <c r="Q185" s="237">
        <f>IFERROR(IF($D90="RUB",$E90*Q90*(1+Q$29),$E90*Q90*(1+INDEX(Q$30:Q$35,MATCH("Инфляция "&amp;$D90,$C$30:$C$35,0)+1))*INDEX(Расчет!Q$17:Q$19,MATCH($D90&amp;"/RUB",$C$17:$C$19,0))),0)</f>
        <v>0</v>
      </c>
      <c r="R185" s="237">
        <f>IFERROR(IF($D90="RUB",$E90*R90*(1+R$29),$E90*R90*(1+INDEX(R$30:R$35,MATCH("Инфляция "&amp;$D90,$C$30:$C$35,0)+1))*INDEX(Расчет!R$17:R$19,MATCH($D90&amp;"/RUB",$C$17:$C$19,0))),0)</f>
        <v>0</v>
      </c>
      <c r="S185" s="237">
        <f>IFERROR(IF($D90="RUB",$E90*S90*(1+S$29),$E90*S90*(1+INDEX(S$30:S$35,MATCH("Инфляция "&amp;$D90,$C$30:$C$35,0)+1))*INDEX(Расчет!S$17:S$19,MATCH($D90&amp;"/RUB",$C$17:$C$19,0))),0)</f>
        <v>0</v>
      </c>
    </row>
    <row r="186" spans="1:19" s="2" customFormat="1" ht="16.5" x14ac:dyDescent="0.3">
      <c r="A186" s="238"/>
      <c r="B186" s="238"/>
      <c r="C186" s="200" t="s">
        <v>108</v>
      </c>
      <c r="D186" s="242" t="s">
        <v>12</v>
      </c>
      <c r="E186" s="237">
        <f t="shared" si="68"/>
        <v>0</v>
      </c>
      <c r="F186" s="243">
        <f t="shared" si="69"/>
        <v>0</v>
      </c>
      <c r="G186" s="251"/>
      <c r="H186" s="237">
        <f>IFERROR(IF($D91="RUB",$E91*H91*(1+H$29),$E91*H91*(1+INDEX(H$30:H$35,MATCH("Инфляция "&amp;$D91,$C$30:$C$35,0)+1))*INDEX(Расчет!H$17:H$19,MATCH($D91&amp;"/RUB",$C$17:$C$19,0))),0)</f>
        <v>0</v>
      </c>
      <c r="I186" s="237">
        <f>IFERROR(IF($D91="RUB",$E91*I91*(1+I$29),$E91*I91*(1+INDEX(I$30:I$35,MATCH("Инфляция "&amp;$D91,$C$30:$C$35,0)+1))*INDEX(Расчет!I$17:I$19,MATCH($D91&amp;"/RUB",$C$17:$C$19,0))),0)</f>
        <v>0</v>
      </c>
      <c r="J186" s="237">
        <f>IFERROR(IF($D91="RUB",$E91*J91*(1+J$29),$E91*J91*(1+INDEX(J$30:J$35,MATCH("Инфляция "&amp;$D91,$C$30:$C$35,0)+1))*INDEX(Расчет!J$17:J$19,MATCH($D91&amp;"/RUB",$C$17:$C$19,0))),0)</f>
        <v>0</v>
      </c>
      <c r="K186" s="237">
        <f>IFERROR(IF($D91="RUB",$E91*K91*(1+K$29),$E91*K91*(1+INDEX(K$30:K$35,MATCH("Инфляция "&amp;$D91,$C$30:$C$35,0)+1))*INDEX(Расчет!K$17:K$19,MATCH($D91&amp;"/RUB",$C$17:$C$19,0))),0)</f>
        <v>0</v>
      </c>
      <c r="L186" s="237">
        <f>IFERROR(IF($D91="RUB",$E91*L91*(1+L$29),$E91*L91*(1+INDEX(L$30:L$35,MATCH("Инфляция "&amp;$D91,$C$30:$C$35,0)+1))*INDEX(Расчет!L$17:L$19,MATCH($D91&amp;"/RUB",$C$17:$C$19,0))),0)</f>
        <v>0</v>
      </c>
      <c r="M186" s="237">
        <f>IFERROR(IF($D91="RUB",$E91*M91*(1+M$29),$E91*M91*(1+INDEX(M$30:M$35,MATCH("Инфляция "&amp;$D91,$C$30:$C$35,0)+1))*INDEX(Расчет!M$17:M$19,MATCH($D91&amp;"/RUB",$C$17:$C$19,0))),0)</f>
        <v>0</v>
      </c>
      <c r="N186" s="237">
        <f>IFERROR(IF($D91="RUB",$E91*N91*(1+N$29),$E91*N91*(1+INDEX(N$30:N$35,MATCH("Инфляция "&amp;$D91,$C$30:$C$35,0)+1))*INDEX(Расчет!N$17:N$19,MATCH($D91&amp;"/RUB",$C$17:$C$19,0))),0)</f>
        <v>0</v>
      </c>
      <c r="O186" s="237">
        <f>IFERROR(IF($D91="RUB",$E91*O91*(1+O$29),$E91*O91*(1+INDEX(O$30:O$35,MATCH("Инфляция "&amp;$D91,$C$30:$C$35,0)+1))*INDEX(Расчет!O$17:O$19,MATCH($D91&amp;"/RUB",$C$17:$C$19,0))),0)</f>
        <v>0</v>
      </c>
      <c r="P186" s="237">
        <f>IFERROR(IF($D91="RUB",$E91*P91*(1+P$29),$E91*P91*(1+INDEX(P$30:P$35,MATCH("Инфляция "&amp;$D91,$C$30:$C$35,0)+1))*INDEX(Расчет!P$17:P$19,MATCH($D91&amp;"/RUB",$C$17:$C$19,0))),0)</f>
        <v>0</v>
      </c>
      <c r="Q186" s="237">
        <f>IFERROR(IF($D91="RUB",$E91*Q91*(1+Q$29),$E91*Q91*(1+INDEX(Q$30:Q$35,MATCH("Инфляция "&amp;$D91,$C$30:$C$35,0)+1))*INDEX(Расчет!Q$17:Q$19,MATCH($D91&amp;"/RUB",$C$17:$C$19,0))),0)</f>
        <v>0</v>
      </c>
      <c r="R186" s="237">
        <f>IFERROR(IF($D91="RUB",$E91*R91*(1+R$29),$E91*R91*(1+INDEX(R$30:R$35,MATCH("Инфляция "&amp;$D91,$C$30:$C$35,0)+1))*INDEX(Расчет!R$17:R$19,MATCH($D91&amp;"/RUB",$C$17:$C$19,0))),0)</f>
        <v>0</v>
      </c>
      <c r="S186" s="237">
        <f>IFERROR(IF($D91="RUB",$E91*S91*(1+S$29),$E91*S91*(1+INDEX(S$30:S$35,MATCH("Инфляция "&amp;$D91,$C$30:$C$35,0)+1))*INDEX(Расчет!S$17:S$19,MATCH($D91&amp;"/RUB",$C$17:$C$19,0))),0)</f>
        <v>0</v>
      </c>
    </row>
    <row r="187" spans="1:19" s="2" customFormat="1" ht="16.5" x14ac:dyDescent="0.3">
      <c r="A187" s="238"/>
      <c r="B187" s="238"/>
      <c r="C187" s="200" t="s">
        <v>33</v>
      </c>
      <c r="D187" s="242" t="s">
        <v>12</v>
      </c>
      <c r="E187" s="237">
        <f t="shared" ca="1" si="68"/>
        <v>0</v>
      </c>
      <c r="F187" s="243">
        <f t="shared" si="69"/>
        <v>0</v>
      </c>
      <c r="G187" s="252"/>
      <c r="H187" s="237">
        <f ca="1">IFERROR(IF($D92="RUB",$E92*H92*(1+H$29),$E92*H92*(1+INDEX(H$30:H$35,MATCH("Инфляция "&amp;$D92,$C$30:$C$35,0)+1))*INDEX(Расчет!H$17:H$19,MATCH($D92&amp;"/RUB",$C$17:$C$19,0))),0)</f>
        <v>0</v>
      </c>
      <c r="I187" s="237">
        <f ca="1">IFERROR(IF($D92="RUB",$E92*I92*(1+I$29),$E92*I92*(1+INDEX(I$30:I$35,MATCH("Инфляция "&amp;$D92,$C$30:$C$35,0)+1))*INDEX(Расчет!I$17:I$19,MATCH($D92&amp;"/RUB",$C$17:$C$19,0))),0)</f>
        <v>0</v>
      </c>
      <c r="J187" s="237">
        <f ca="1">IFERROR(IF($D92="RUB",$E92*J92*(1+J$29),$E92*J92*(1+INDEX(J$30:J$35,MATCH("Инфляция "&amp;$D92,$C$30:$C$35,0)+1))*INDEX(Расчет!J$17:J$19,MATCH($D92&amp;"/RUB",$C$17:$C$19,0))),0)</f>
        <v>0</v>
      </c>
      <c r="K187" s="237">
        <f ca="1">IFERROR(IF($D92="RUB",$E92*K92*(1+K$29),$E92*K92*(1+INDEX(K$30:K$35,MATCH("Инфляция "&amp;$D92,$C$30:$C$35,0)+1))*INDEX(Расчет!K$17:K$19,MATCH($D92&amp;"/RUB",$C$17:$C$19,0))),0)</f>
        <v>0</v>
      </c>
      <c r="L187" s="237">
        <f ca="1">IFERROR(IF($D92="RUB",$E92*L92*(1+L$29),$E92*L92*(1+INDEX(L$30:L$35,MATCH("Инфляция "&amp;$D92,$C$30:$C$35,0)+1))*INDEX(Расчет!L$17:L$19,MATCH($D92&amp;"/RUB",$C$17:$C$19,0))),0)</f>
        <v>0</v>
      </c>
      <c r="M187" s="237">
        <f ca="1">IFERROR(IF($D92="RUB",$E92*M92*(1+M$29),$E92*M92*(1+INDEX(M$30:M$35,MATCH("Инфляция "&amp;$D92,$C$30:$C$35,0)+1))*INDEX(Расчет!M$17:M$19,MATCH($D92&amp;"/RUB",$C$17:$C$19,0))),0)</f>
        <v>0</v>
      </c>
      <c r="N187" s="237">
        <f ca="1">IFERROR(IF($D92="RUB",$E92*N92*(1+N$29),$E92*N92*(1+INDEX(N$30:N$35,MATCH("Инфляция "&amp;$D92,$C$30:$C$35,0)+1))*INDEX(Расчет!N$17:N$19,MATCH($D92&amp;"/RUB",$C$17:$C$19,0))),0)</f>
        <v>0</v>
      </c>
      <c r="O187" s="237">
        <f ca="1">IFERROR(IF($D92="RUB",$E92*O92*(1+O$29),$E92*O92*(1+INDEX(O$30:O$35,MATCH("Инфляция "&amp;$D92,$C$30:$C$35,0)+1))*INDEX(Расчет!O$17:O$19,MATCH($D92&amp;"/RUB",$C$17:$C$19,0))),0)</f>
        <v>0</v>
      </c>
      <c r="P187" s="237">
        <f ca="1">IFERROR(IF($D92="RUB",$E92*P92*(1+P$29),$E92*P92*(1+INDEX(P$30:P$35,MATCH("Инфляция "&amp;$D92,$C$30:$C$35,0)+1))*INDEX(Расчет!P$17:P$19,MATCH($D92&amp;"/RUB",$C$17:$C$19,0))),0)</f>
        <v>0</v>
      </c>
      <c r="Q187" s="237">
        <f ca="1">IFERROR(IF($D92="RUB",$E92*Q92*(1+Q$29),$E92*Q92*(1+INDEX(Q$30:Q$35,MATCH("Инфляция "&amp;$D92,$C$30:$C$35,0)+1))*INDEX(Расчет!Q$17:Q$19,MATCH($D92&amp;"/RUB",$C$17:$C$19,0))),0)</f>
        <v>0</v>
      </c>
      <c r="R187" s="237">
        <f ca="1">IFERROR(IF($D92="RUB",$E92*R92*(1+R$29),$E92*R92*(1+INDEX(R$30:R$35,MATCH("Инфляция "&amp;$D92,$C$30:$C$35,0)+1))*INDEX(Расчет!R$17:R$19,MATCH($D92&amp;"/RUB",$C$17:$C$19,0))),0)</f>
        <v>0</v>
      </c>
      <c r="S187" s="237">
        <f ca="1">IFERROR(IF($D92="RUB",$E92*S92*(1+S$29),$E92*S92*(1+INDEX(S$30:S$35,MATCH("Инфляция "&amp;$D92,$C$30:$C$35,0)+1))*INDEX(Расчет!S$17:S$19,MATCH($D92&amp;"/RUB",$C$17:$C$19,0))),0)</f>
        <v>0</v>
      </c>
    </row>
    <row r="188" spans="1:19" s="2" customFormat="1" ht="16.5" x14ac:dyDescent="0.3">
      <c r="A188" s="238"/>
      <c r="B188" s="238"/>
      <c r="C188" s="200" t="s">
        <v>33</v>
      </c>
      <c r="D188" s="242" t="s">
        <v>12</v>
      </c>
      <c r="E188" s="237">
        <f t="shared" si="68"/>
        <v>0</v>
      </c>
      <c r="F188" s="243">
        <f t="shared" si="69"/>
        <v>0</v>
      </c>
      <c r="G188" s="252"/>
      <c r="H188" s="237">
        <f>IFERROR(IF($D93="RUB",$E93*H93*(1+H$29),$E93*H93*(1+INDEX(H$30:H$35,MATCH("Инфляция "&amp;$D93,$C$30:$C$35,0)+1))*INDEX(Расчет!H$17:H$19,MATCH($D93&amp;"/RUB",$C$17:$C$19,0))),0)</f>
        <v>0</v>
      </c>
      <c r="I188" s="237">
        <f>IFERROR(IF($D93="RUB",$E93*I93*(1+I$29),$E93*I93*(1+INDEX(I$30:I$35,MATCH("Инфляция "&amp;$D93,$C$30:$C$35,0)+1))*INDEX(Расчет!I$17:I$19,MATCH($D93&amp;"/RUB",$C$17:$C$19,0))),0)</f>
        <v>0</v>
      </c>
      <c r="J188" s="237">
        <f>IFERROR(IF($D93="RUB",$E93*J93*(1+J$29),$E93*J93*(1+INDEX(J$30:J$35,MATCH("Инфляция "&amp;$D93,$C$30:$C$35,0)+1))*INDEX(Расчет!J$17:J$19,MATCH($D93&amp;"/RUB",$C$17:$C$19,0))),0)</f>
        <v>0</v>
      </c>
      <c r="K188" s="237">
        <f>IFERROR(IF($D93="RUB",$E93*K93*(1+K$29),$E93*K93*(1+INDEX(K$30:K$35,MATCH("Инфляция "&amp;$D93,$C$30:$C$35,0)+1))*INDEX(Расчет!K$17:K$19,MATCH($D93&amp;"/RUB",$C$17:$C$19,0))),0)</f>
        <v>0</v>
      </c>
      <c r="L188" s="237">
        <f>IFERROR(IF($D93="RUB",$E93*L93*(1+L$29),$E93*L93*(1+INDEX(L$30:L$35,MATCH("Инфляция "&amp;$D93,$C$30:$C$35,0)+1))*INDEX(Расчет!L$17:L$19,MATCH($D93&amp;"/RUB",$C$17:$C$19,0))),0)</f>
        <v>0</v>
      </c>
      <c r="M188" s="237">
        <f>IFERROR(IF($D93="RUB",$E93*M93*(1+M$29),$E93*M93*(1+INDEX(M$30:M$35,MATCH("Инфляция "&amp;$D93,$C$30:$C$35,0)+1))*INDEX(Расчет!M$17:M$19,MATCH($D93&amp;"/RUB",$C$17:$C$19,0))),0)</f>
        <v>0</v>
      </c>
      <c r="N188" s="237">
        <f>IFERROR(IF($D93="RUB",$E93*N93*(1+N$29),$E93*N93*(1+INDEX(N$30:N$35,MATCH("Инфляция "&amp;$D93,$C$30:$C$35,0)+1))*INDEX(Расчет!N$17:N$19,MATCH($D93&amp;"/RUB",$C$17:$C$19,0))),0)</f>
        <v>0</v>
      </c>
      <c r="O188" s="237">
        <f>IFERROR(IF($D93="RUB",$E93*O93*(1+O$29),$E93*O93*(1+INDEX(O$30:O$35,MATCH("Инфляция "&amp;$D93,$C$30:$C$35,0)+1))*INDEX(Расчет!O$17:O$19,MATCH($D93&amp;"/RUB",$C$17:$C$19,0))),0)</f>
        <v>0</v>
      </c>
      <c r="P188" s="237">
        <f>IFERROR(IF($D93="RUB",$E93*P93*(1+P$29),$E93*P93*(1+INDEX(P$30:P$35,MATCH("Инфляция "&amp;$D93,$C$30:$C$35,0)+1))*INDEX(Расчет!P$17:P$19,MATCH($D93&amp;"/RUB",$C$17:$C$19,0))),0)</f>
        <v>0</v>
      </c>
      <c r="Q188" s="237">
        <f>IFERROR(IF($D93="RUB",$E93*Q93*(1+Q$29),$E93*Q93*(1+INDEX(Q$30:Q$35,MATCH("Инфляция "&amp;$D93,$C$30:$C$35,0)+1))*INDEX(Расчет!Q$17:Q$19,MATCH($D93&amp;"/RUB",$C$17:$C$19,0))),0)</f>
        <v>0</v>
      </c>
      <c r="R188" s="237">
        <f>IFERROR(IF($D93="RUB",$E93*R93*(1+R$29),$E93*R93*(1+INDEX(R$30:R$35,MATCH("Инфляция "&amp;$D93,$C$30:$C$35,0)+1))*INDEX(Расчет!R$17:R$19,MATCH($D93&amp;"/RUB",$C$17:$C$19,0))),0)</f>
        <v>0</v>
      </c>
      <c r="S188" s="237">
        <f>IFERROR(IF($D93="RUB",$E93*S93*(1+S$29),$E93*S93*(1+INDEX(S$30:S$35,MATCH("Инфляция "&amp;$D93,$C$30:$C$35,0)+1))*INDEX(Расчет!S$17:S$19,MATCH($D93&amp;"/RUB",$C$17:$C$19,0))),0)</f>
        <v>0</v>
      </c>
    </row>
    <row r="189" spans="1:19" s="2" customFormat="1" ht="16.5" x14ac:dyDescent="0.3">
      <c r="A189" s="238"/>
      <c r="B189" s="238"/>
      <c r="C189" s="200" t="s">
        <v>33</v>
      </c>
      <c r="D189" s="242" t="s">
        <v>12</v>
      </c>
      <c r="E189" s="237">
        <f t="shared" si="68"/>
        <v>266173.68833894772</v>
      </c>
      <c r="F189" s="243">
        <f t="shared" si="69"/>
        <v>0.13333333333333333</v>
      </c>
      <c r="G189" s="252"/>
      <c r="H189" s="237">
        <f>IFERROR(IF($D94="RUB",$E94*H94*(1+H$29),$E94*H94*(1+INDEX(H$30:H$35,MATCH("Инфляция "&amp;$D94,$C$30:$C$35,0)+1))*INDEX(Расчет!H$17:H$19,MATCH($D94&amp;"/RUB",$C$17:$C$19,0))),0)</f>
        <v>22058.170793114627</v>
      </c>
      <c r="I189" s="237">
        <f>IFERROR(IF($D94="RUB",$E94*I94*(1+I$29),$E94*I94*(1+INDEX(I$30:I$35,MATCH("Инфляция "&amp;$D94,$C$30:$C$35,0)+1))*INDEX(Расчет!I$17:I$19,MATCH($D94&amp;"/RUB",$C$17:$C$19,0))),0)</f>
        <v>22094.601655551098</v>
      </c>
      <c r="J189" s="237">
        <f>IFERROR(IF($D94="RUB",$E94*J94*(1+J$29),$E94*J94*(1+INDEX(J$30:J$35,MATCH("Инфляция "&amp;$D94,$C$30:$C$35,0)+1))*INDEX(Расчет!J$17:J$19,MATCH($D94&amp;"/RUB",$C$17:$C$19,0))),0)</f>
        <v>33196.639029778169</v>
      </c>
      <c r="K189" s="237">
        <f>IFERROR(IF($D94="RUB",$E94*K94*(1+K$29),$E94*K94*(1+INDEX(K$30:K$35,MATCH("Инфляция "&amp;$D94,$C$30:$C$35,0)+1))*INDEX(Расчет!K$17:K$19,MATCH($D94&amp;"/RUB",$C$17:$C$19,0))),0)</f>
        <v>33251.465978086344</v>
      </c>
      <c r="L189" s="237">
        <f>IFERROR(IF($D94="RUB",$E94*L94*(1+L$29),$E94*L94*(1+INDEX(L$30:L$35,MATCH("Инфляция "&amp;$D94,$C$30:$C$35,0)+1))*INDEX(Расчет!L$17:L$19,MATCH($D94&amp;"/RUB",$C$17:$C$19,0))),0)</f>
        <v>68833.192520284865</v>
      </c>
      <c r="M189" s="237">
        <f>IFERROR(IF($D94="RUB",$E94*M94*(1+M$29),$E94*M94*(1+INDEX(M$30:M$35,MATCH("Инфляция "&amp;$D94,$C$30:$C$35,0)+1))*INDEX(Расчет!M$17:M$19,MATCH($D94&amp;"/RUB",$C$17:$C$19,0))),0)</f>
        <v>86739.618362132605</v>
      </c>
      <c r="N189" s="237">
        <f>IFERROR(IF($D94="RUB",$E94*N94*(1+N$29),$E94*N94*(1+INDEX(N$30:N$35,MATCH("Инфляция "&amp;$D94,$C$30:$C$35,0)+1))*INDEX(Расчет!N$17:N$19,MATCH($D94&amp;"/RUB",$C$17:$C$19,0))),0)</f>
        <v>0</v>
      </c>
      <c r="O189" s="237">
        <f>IFERROR(IF($D94="RUB",$E94*O94*(1+O$29),$E94*O94*(1+INDEX(O$30:O$35,MATCH("Инфляция "&amp;$D94,$C$30:$C$35,0)+1))*INDEX(Расчет!O$17:O$19,MATCH($D94&amp;"/RUB",$C$17:$C$19,0))),0)</f>
        <v>0</v>
      </c>
      <c r="P189" s="237">
        <f>IFERROR(IF($D94="RUB",$E94*P94*(1+P$29),$E94*P94*(1+INDEX(P$30:P$35,MATCH("Инфляция "&amp;$D94,$C$30:$C$35,0)+1))*INDEX(Расчет!P$17:P$19,MATCH($D94&amp;"/RUB",$C$17:$C$19,0))),0)</f>
        <v>0</v>
      </c>
      <c r="Q189" s="237">
        <f>IFERROR(IF($D94="RUB",$E94*Q94*(1+Q$29),$E94*Q94*(1+INDEX(Q$30:Q$35,MATCH("Инфляция "&amp;$D94,$C$30:$C$35,0)+1))*INDEX(Расчет!Q$17:Q$19,MATCH($D94&amp;"/RUB",$C$17:$C$19,0))),0)</f>
        <v>0</v>
      </c>
      <c r="R189" s="237">
        <f>IFERROR(IF($D94="RUB",$E94*R94*(1+R$29),$E94*R94*(1+INDEX(R$30:R$35,MATCH("Инфляция "&amp;$D94,$C$30:$C$35,0)+1))*INDEX(Расчет!R$17:R$19,MATCH($D94&amp;"/RUB",$C$17:$C$19,0))),0)</f>
        <v>0</v>
      </c>
      <c r="S189" s="237">
        <f>IFERROR(IF($D94="RUB",$E94*S94*(1+S$29),$E94*S94*(1+INDEX(S$30:S$35,MATCH("Инфляция "&amp;$D94,$C$30:$C$35,0)+1))*INDEX(Расчет!S$17:S$19,MATCH($D94&amp;"/RUB",$C$17:$C$19,0))),0)</f>
        <v>0</v>
      </c>
    </row>
    <row r="190" spans="1:19" s="2" customFormat="1" ht="16.5" x14ac:dyDescent="0.3">
      <c r="A190" s="238"/>
      <c r="B190" s="238"/>
      <c r="C190" s="200" t="s">
        <v>33</v>
      </c>
      <c r="D190" s="242" t="s">
        <v>12</v>
      </c>
      <c r="E190" s="237">
        <f t="shared" si="68"/>
        <v>0</v>
      </c>
      <c r="F190" s="243">
        <f t="shared" si="69"/>
        <v>0</v>
      </c>
      <c r="G190" s="252"/>
      <c r="H190" s="237">
        <f>IFERROR(IF($D95="RUB",$E95*H95*(1+H$29),$E95*H95*(1+INDEX(H$30:H$35,MATCH("Инфляция "&amp;$D95,$C$30:$C$35,0)+1))*INDEX(Расчет!H$17:H$19,MATCH($D95&amp;"/RUB",$C$17:$C$19,0))),0)</f>
        <v>0</v>
      </c>
      <c r="I190" s="237">
        <f>IFERROR(IF($D95="RUB",$E95*I95*(1+I$29),$E95*I95*(1+INDEX(I$30:I$35,MATCH("Инфляция "&amp;$D95,$C$30:$C$35,0)+1))*INDEX(Расчет!I$17:I$19,MATCH($D95&amp;"/RUB",$C$17:$C$19,0))),0)</f>
        <v>0</v>
      </c>
      <c r="J190" s="237">
        <f>IFERROR(IF($D95="RUB",$E95*J95*(1+J$29),$E95*J95*(1+INDEX(J$30:J$35,MATCH("Инфляция "&amp;$D95,$C$30:$C$35,0)+1))*INDEX(Расчет!J$17:J$19,MATCH($D95&amp;"/RUB",$C$17:$C$19,0))),0)</f>
        <v>0</v>
      </c>
      <c r="K190" s="237">
        <f>IFERROR(IF($D95="RUB",$E95*K95*(1+K$29),$E95*K95*(1+INDEX(K$30:K$35,MATCH("Инфляция "&amp;$D95,$C$30:$C$35,0)+1))*INDEX(Расчет!K$17:K$19,MATCH($D95&amp;"/RUB",$C$17:$C$19,0))),0)</f>
        <v>0</v>
      </c>
      <c r="L190" s="237">
        <f>IFERROR(IF($D95="RUB",$E95*L95*(1+L$29),$E95*L95*(1+INDEX(L$30:L$35,MATCH("Инфляция "&amp;$D95,$C$30:$C$35,0)+1))*INDEX(Расчет!L$17:L$19,MATCH($D95&amp;"/RUB",$C$17:$C$19,0))),0)</f>
        <v>0</v>
      </c>
      <c r="M190" s="237">
        <f>IFERROR(IF($D95="RUB",$E95*M95*(1+M$29),$E95*M95*(1+INDEX(M$30:M$35,MATCH("Инфляция "&amp;$D95,$C$30:$C$35,0)+1))*INDEX(Расчет!M$17:M$19,MATCH($D95&amp;"/RUB",$C$17:$C$19,0))),0)</f>
        <v>0</v>
      </c>
      <c r="N190" s="237">
        <f>IFERROR(IF($D95="RUB",$E95*N95*(1+N$29),$E95*N95*(1+INDEX(N$30:N$35,MATCH("Инфляция "&amp;$D95,$C$30:$C$35,0)+1))*INDEX(Расчет!N$17:N$19,MATCH($D95&amp;"/RUB",$C$17:$C$19,0))),0)</f>
        <v>0</v>
      </c>
      <c r="O190" s="237">
        <f>IFERROR(IF($D95="RUB",$E95*O95*(1+O$29),$E95*O95*(1+INDEX(O$30:O$35,MATCH("Инфляция "&amp;$D95,$C$30:$C$35,0)+1))*INDEX(Расчет!O$17:O$19,MATCH($D95&amp;"/RUB",$C$17:$C$19,0))),0)</f>
        <v>0</v>
      </c>
      <c r="P190" s="237">
        <f>IFERROR(IF($D95="RUB",$E95*P95*(1+P$29),$E95*P95*(1+INDEX(P$30:P$35,MATCH("Инфляция "&amp;$D95,$C$30:$C$35,0)+1))*INDEX(Расчет!P$17:P$19,MATCH($D95&amp;"/RUB",$C$17:$C$19,0))),0)</f>
        <v>0</v>
      </c>
      <c r="Q190" s="237">
        <f>IFERROR(IF($D95="RUB",$E95*Q95*(1+Q$29),$E95*Q95*(1+INDEX(Q$30:Q$35,MATCH("Инфляция "&amp;$D95,$C$30:$C$35,0)+1))*INDEX(Расчет!Q$17:Q$19,MATCH($D95&amp;"/RUB",$C$17:$C$19,0))),0)</f>
        <v>0</v>
      </c>
      <c r="R190" s="237">
        <f>IFERROR(IF($D95="RUB",$E95*R95*(1+R$29),$E95*R95*(1+INDEX(R$30:R$35,MATCH("Инфляция "&amp;$D95,$C$30:$C$35,0)+1))*INDEX(Расчет!R$17:R$19,MATCH($D95&amp;"/RUB",$C$17:$C$19,0))),0)</f>
        <v>0</v>
      </c>
      <c r="S190" s="237">
        <f>IFERROR(IF($D95="RUB",$E95*S95*(1+S$29),$E95*S95*(1+INDEX(S$30:S$35,MATCH("Инфляция "&amp;$D95,$C$30:$C$35,0)+1))*INDEX(Расчет!S$17:S$19,MATCH($D95&amp;"/RUB",$C$17:$C$19,0))),0)</f>
        <v>0</v>
      </c>
    </row>
    <row r="191" spans="1:19" s="2" customFormat="1" ht="16.5" x14ac:dyDescent="0.3">
      <c r="A191" s="238"/>
      <c r="B191" s="238"/>
      <c r="C191" s="234" t="s">
        <v>20</v>
      </c>
      <c r="D191" s="242" t="s">
        <v>12</v>
      </c>
      <c r="E191" s="237">
        <f t="shared" ca="1" si="68"/>
        <v>2036537.0294825912</v>
      </c>
      <c r="F191" s="243">
        <f t="shared" si="69"/>
        <v>0.2</v>
      </c>
      <c r="G191" s="252"/>
      <c r="H191" s="237">
        <f ca="1">IFERROR(IF($D96="RUB",$E96*H96*(1+H$29),$E96*H96*(1+INDEX(H$30:H$35,MATCH("Инфляция "&amp;$D96,$C$30:$C$35,0)+1))*INDEX(Расчет!H$17:H$19,MATCH($D96&amp;"/RUB",$C$17:$C$19,0))),0)</f>
        <v>502786.13113263558</v>
      </c>
      <c r="I191" s="237">
        <f ca="1">IFERROR(IF($D96="RUB",$E96*I96*(1+I$29),$E96*I96*(1+INDEX(I$30:I$35,MATCH("Инфляция "&amp;$D96,$C$30:$C$35,0)+1))*INDEX(Расчет!I$17:I$19,MATCH($D96&amp;"/RUB",$C$17:$C$19,0))),0)</f>
        <v>168529.2624395492</v>
      </c>
      <c r="J191" s="237">
        <f ca="1">IFERROR(IF($D96="RUB",$E96*J96*(1+J$29),$E96*J96*(1+INDEX(J$30:J$35,MATCH("Инфляция "&amp;$D96,$C$30:$C$35,0)+1))*INDEX(Расчет!J$17:J$19,MATCH($D96&amp;"/RUB",$C$17:$C$19,0))),0)</f>
        <v>508405.05506770528</v>
      </c>
      <c r="K191" s="237">
        <f ca="1">IFERROR(IF($D96="RUB",$E96*K96*(1+K$29),$E96*K96*(1+INDEX(K$30:K$35,MATCH("Инфляция "&amp;$D96,$C$30:$C$35,0)+1))*INDEX(Расчет!K$17:K$19,MATCH($D96&amp;"/RUB",$C$17:$C$19,0))),0)</f>
        <v>170412.67379051071</v>
      </c>
      <c r="L191" s="237">
        <f ca="1">IFERROR(IF($D96="RUB",$E96*L96*(1+L$29),$E96*L96*(1+INDEX(L$30:L$35,MATCH("Инфляция "&amp;$D96,$C$30:$C$35,0)+1))*INDEX(Расчет!L$17:L$19,MATCH($D96&amp;"/RUB",$C$17:$C$19,0))),0)</f>
        <v>514086.77370659274</v>
      </c>
      <c r="M191" s="237">
        <f ca="1">IFERROR(IF($D96="RUB",$E96*M96*(1+M$29),$E96*M96*(1+INDEX(M$30:M$35,MATCH("Инфляция "&amp;$D96,$C$30:$C$35,0)+1))*INDEX(Расчет!M$17:M$19,MATCH($D96&amp;"/RUB",$C$17:$C$19,0))),0)</f>
        <v>172317.13334559766</v>
      </c>
      <c r="N191" s="237">
        <f ca="1">IFERROR(IF($D96="RUB",$E96*N96*(1+N$29),$E96*N96*(1+INDEX(N$30:N$35,MATCH("Инфляция "&amp;$D96,$C$30:$C$35,0)+1))*INDEX(Расчет!N$17:N$19,MATCH($D96&amp;"/RUB",$C$17:$C$19,0))),0)</f>
        <v>0</v>
      </c>
      <c r="O191" s="237">
        <f ca="1">IFERROR(IF($D96="RUB",$E96*O96*(1+O$29),$E96*O96*(1+INDEX(O$30:O$35,MATCH("Инфляция "&amp;$D96,$C$30:$C$35,0)+1))*INDEX(Расчет!O$17:O$19,MATCH($D96&amp;"/RUB",$C$17:$C$19,0))),0)</f>
        <v>0</v>
      </c>
      <c r="P191" s="237">
        <f ca="1">IFERROR(IF($D96="RUB",$E96*P96*(1+P$29),$E96*P96*(1+INDEX(P$30:P$35,MATCH("Инфляция "&amp;$D96,$C$30:$C$35,0)+1))*INDEX(Расчет!P$17:P$19,MATCH($D96&amp;"/RUB",$C$17:$C$19,0))),0)</f>
        <v>0</v>
      </c>
      <c r="Q191" s="237">
        <f ca="1">IFERROR(IF($D96="RUB",$E96*Q96*(1+Q$29),$E96*Q96*(1+INDEX(Q$30:Q$35,MATCH("Инфляция "&amp;$D96,$C$30:$C$35,0)+1))*INDEX(Расчет!Q$17:Q$19,MATCH($D96&amp;"/RUB",$C$17:$C$19,0))),0)</f>
        <v>0</v>
      </c>
      <c r="R191" s="237">
        <f ca="1">IFERROR(IF($D96="RUB",$E96*R96*(1+R$29),$E96*R96*(1+INDEX(R$30:R$35,MATCH("Инфляция "&amp;$D96,$C$30:$C$35,0)+1))*INDEX(Расчет!R$17:R$19,MATCH($D96&amp;"/RUB",$C$17:$C$19,0))),0)</f>
        <v>0</v>
      </c>
      <c r="S191" s="237">
        <f ca="1">IFERROR(IF($D96="RUB",$E96*S96*(1+S$29),$E96*S96*(1+INDEX(S$30:S$35,MATCH("Инфляция "&amp;$D96,$C$30:$C$35,0)+1))*INDEX(Расчет!S$17:S$19,MATCH($D96&amp;"/RUB",$C$17:$C$19,0))),0)</f>
        <v>0</v>
      </c>
    </row>
    <row r="192" spans="1:19" s="2" customFormat="1" ht="16.5" x14ac:dyDescent="0.3">
      <c r="A192" s="238"/>
      <c r="B192" s="238"/>
      <c r="C192" s="234" t="s">
        <v>20</v>
      </c>
      <c r="D192" s="242" t="s">
        <v>12</v>
      </c>
      <c r="E192" s="237">
        <f t="shared" si="68"/>
        <v>0</v>
      </c>
      <c r="F192" s="243">
        <f t="shared" si="69"/>
        <v>0</v>
      </c>
      <c r="G192" s="252"/>
      <c r="H192" s="237">
        <f>IFERROR(IF($D97="RUB",$E97*H97*(1+H$29),$E97*H97*(1+INDEX(H$30:H$35,MATCH("Инфляция "&amp;$D97,$C$30:$C$35,0)+1))*INDEX(Расчет!H$17:H$19,MATCH($D97&amp;"/RUB",$C$17:$C$19,0))),0)</f>
        <v>0</v>
      </c>
      <c r="I192" s="237">
        <f>IFERROR(IF($D97="RUB",$E97*I97*(1+I$29),$E97*I97*(1+INDEX(I$30:I$35,MATCH("Инфляция "&amp;$D97,$C$30:$C$35,0)+1))*INDEX(Расчет!I$17:I$19,MATCH($D97&amp;"/RUB",$C$17:$C$19,0))),0)</f>
        <v>0</v>
      </c>
      <c r="J192" s="237">
        <f>IFERROR(IF($D97="RUB",$E97*J97*(1+J$29),$E97*J97*(1+INDEX(J$30:J$35,MATCH("Инфляция "&amp;$D97,$C$30:$C$35,0)+1))*INDEX(Расчет!J$17:J$19,MATCH($D97&amp;"/RUB",$C$17:$C$19,0))),0)</f>
        <v>0</v>
      </c>
      <c r="K192" s="237">
        <f>IFERROR(IF($D97="RUB",$E97*K97*(1+K$29),$E97*K97*(1+INDEX(K$30:K$35,MATCH("Инфляция "&amp;$D97,$C$30:$C$35,0)+1))*INDEX(Расчет!K$17:K$19,MATCH($D97&amp;"/RUB",$C$17:$C$19,0))),0)</f>
        <v>0</v>
      </c>
      <c r="L192" s="237">
        <f>IFERROR(IF($D97="RUB",$E97*L97*(1+L$29),$E97*L97*(1+INDEX(L$30:L$35,MATCH("Инфляция "&amp;$D97,$C$30:$C$35,0)+1))*INDEX(Расчет!L$17:L$19,MATCH($D97&amp;"/RUB",$C$17:$C$19,0))),0)</f>
        <v>0</v>
      </c>
      <c r="M192" s="237">
        <f>IFERROR(IF($D97="RUB",$E97*M97*(1+M$29),$E97*M97*(1+INDEX(M$30:M$35,MATCH("Инфляция "&amp;$D97,$C$30:$C$35,0)+1))*INDEX(Расчет!M$17:M$19,MATCH($D97&amp;"/RUB",$C$17:$C$19,0))),0)</f>
        <v>0</v>
      </c>
      <c r="N192" s="237">
        <f>IFERROR(IF($D97="RUB",$E97*N97*(1+N$29),$E97*N97*(1+INDEX(N$30:N$35,MATCH("Инфляция "&amp;$D97,$C$30:$C$35,0)+1))*INDEX(Расчет!N$17:N$19,MATCH($D97&amp;"/RUB",$C$17:$C$19,0))),0)</f>
        <v>0</v>
      </c>
      <c r="O192" s="237">
        <f>IFERROR(IF($D97="RUB",$E97*O97*(1+O$29),$E97*O97*(1+INDEX(O$30:O$35,MATCH("Инфляция "&amp;$D97,$C$30:$C$35,0)+1))*INDEX(Расчет!O$17:O$19,MATCH($D97&amp;"/RUB",$C$17:$C$19,0))),0)</f>
        <v>0</v>
      </c>
      <c r="P192" s="237">
        <f>IFERROR(IF($D97="RUB",$E97*P97*(1+P$29),$E97*P97*(1+INDEX(P$30:P$35,MATCH("Инфляция "&amp;$D97,$C$30:$C$35,0)+1))*INDEX(Расчет!P$17:P$19,MATCH($D97&amp;"/RUB",$C$17:$C$19,0))),0)</f>
        <v>0</v>
      </c>
      <c r="Q192" s="237">
        <f>IFERROR(IF($D97="RUB",$E97*Q97*(1+Q$29),$E97*Q97*(1+INDEX(Q$30:Q$35,MATCH("Инфляция "&amp;$D97,$C$30:$C$35,0)+1))*INDEX(Расчет!Q$17:Q$19,MATCH($D97&amp;"/RUB",$C$17:$C$19,0))),0)</f>
        <v>0</v>
      </c>
      <c r="R192" s="237">
        <f>IFERROR(IF($D97="RUB",$E97*R97*(1+R$29),$E97*R97*(1+INDEX(R$30:R$35,MATCH("Инфляция "&amp;$D97,$C$30:$C$35,0)+1))*INDEX(Расчет!R$17:R$19,MATCH($D97&amp;"/RUB",$C$17:$C$19,0))),0)</f>
        <v>0</v>
      </c>
      <c r="S192" s="237">
        <f>IFERROR(IF($D97="RUB",$E97*S97*(1+S$29),$E97*S97*(1+INDEX(S$30:S$35,MATCH("Инфляция "&amp;$D97,$C$30:$C$35,0)+1))*INDEX(Расчет!S$17:S$19,MATCH($D97&amp;"/RUB",$C$17:$C$19,0))),0)</f>
        <v>0</v>
      </c>
    </row>
    <row r="193" spans="1:19" s="2" customFormat="1" ht="16.5" x14ac:dyDescent="0.3">
      <c r="A193" s="238"/>
      <c r="B193" s="238"/>
      <c r="C193" s="234" t="s">
        <v>20</v>
      </c>
      <c r="D193" s="242" t="s">
        <v>12</v>
      </c>
      <c r="E193" s="237">
        <f t="shared" si="68"/>
        <v>0</v>
      </c>
      <c r="F193" s="243">
        <f t="shared" si="69"/>
        <v>0</v>
      </c>
      <c r="G193" s="252"/>
      <c r="H193" s="237">
        <f>IFERROR(IF($D98="RUB",$E98*H98*(1+H$29),$E98*H98*(1+INDEX(H$30:H$35,MATCH("Инфляция "&amp;$D98,$C$30:$C$35,0)+1))*INDEX(Расчет!H$17:H$19,MATCH($D98&amp;"/RUB",$C$17:$C$19,0))),0)</f>
        <v>0</v>
      </c>
      <c r="I193" s="237">
        <f>IFERROR(IF($D98="RUB",$E98*I98*(1+I$29),$E98*I98*(1+INDEX(I$30:I$35,MATCH("Инфляция "&amp;$D98,$C$30:$C$35,0)+1))*INDEX(Расчет!I$17:I$19,MATCH($D98&amp;"/RUB",$C$17:$C$19,0))),0)</f>
        <v>0</v>
      </c>
      <c r="J193" s="237">
        <f>IFERROR(IF($D98="RUB",$E98*J98*(1+J$29),$E98*J98*(1+INDEX(J$30:J$35,MATCH("Инфляция "&amp;$D98,$C$30:$C$35,0)+1))*INDEX(Расчет!J$17:J$19,MATCH($D98&amp;"/RUB",$C$17:$C$19,0))),0)</f>
        <v>0</v>
      </c>
      <c r="K193" s="237">
        <f>IFERROR(IF($D98="RUB",$E98*K98*(1+K$29),$E98*K98*(1+INDEX(K$30:K$35,MATCH("Инфляция "&amp;$D98,$C$30:$C$35,0)+1))*INDEX(Расчет!K$17:K$19,MATCH($D98&amp;"/RUB",$C$17:$C$19,0))),0)</f>
        <v>0</v>
      </c>
      <c r="L193" s="237">
        <f>IFERROR(IF($D98="RUB",$E98*L98*(1+L$29),$E98*L98*(1+INDEX(L$30:L$35,MATCH("Инфляция "&amp;$D98,$C$30:$C$35,0)+1))*INDEX(Расчет!L$17:L$19,MATCH($D98&amp;"/RUB",$C$17:$C$19,0))),0)</f>
        <v>0</v>
      </c>
      <c r="M193" s="237">
        <f>IFERROR(IF($D98="RUB",$E98*M98*(1+M$29),$E98*M98*(1+INDEX(M$30:M$35,MATCH("Инфляция "&amp;$D98,$C$30:$C$35,0)+1))*INDEX(Расчет!M$17:M$19,MATCH($D98&amp;"/RUB",$C$17:$C$19,0))),0)</f>
        <v>0</v>
      </c>
      <c r="N193" s="237">
        <f>IFERROR(IF($D98="RUB",$E98*N98*(1+N$29),$E98*N98*(1+INDEX(N$30:N$35,MATCH("Инфляция "&amp;$D98,$C$30:$C$35,0)+1))*INDEX(Расчет!N$17:N$19,MATCH($D98&amp;"/RUB",$C$17:$C$19,0))),0)</f>
        <v>0</v>
      </c>
      <c r="O193" s="237">
        <f>IFERROR(IF($D98="RUB",$E98*O98*(1+O$29),$E98*O98*(1+INDEX(O$30:O$35,MATCH("Инфляция "&amp;$D98,$C$30:$C$35,0)+1))*INDEX(Расчет!O$17:O$19,MATCH($D98&amp;"/RUB",$C$17:$C$19,0))),0)</f>
        <v>0</v>
      </c>
      <c r="P193" s="237">
        <f>IFERROR(IF($D98="RUB",$E98*P98*(1+P$29),$E98*P98*(1+INDEX(P$30:P$35,MATCH("Инфляция "&amp;$D98,$C$30:$C$35,0)+1))*INDEX(Расчет!P$17:P$19,MATCH($D98&amp;"/RUB",$C$17:$C$19,0))),0)</f>
        <v>0</v>
      </c>
      <c r="Q193" s="237">
        <f>IFERROR(IF($D98="RUB",$E98*Q98*(1+Q$29),$E98*Q98*(1+INDEX(Q$30:Q$35,MATCH("Инфляция "&amp;$D98,$C$30:$C$35,0)+1))*INDEX(Расчет!Q$17:Q$19,MATCH($D98&amp;"/RUB",$C$17:$C$19,0))),0)</f>
        <v>0</v>
      </c>
      <c r="R193" s="237">
        <f>IFERROR(IF($D98="RUB",$E98*R98*(1+R$29),$E98*R98*(1+INDEX(R$30:R$35,MATCH("Инфляция "&amp;$D98,$C$30:$C$35,0)+1))*INDEX(Расчет!R$17:R$19,MATCH($D98&amp;"/RUB",$C$17:$C$19,0))),0)</f>
        <v>0</v>
      </c>
      <c r="S193" s="237">
        <f>IFERROR(IF($D98="RUB",$E98*S98*(1+S$29),$E98*S98*(1+INDEX(S$30:S$35,MATCH("Инфляция "&amp;$D98,$C$30:$C$35,0)+1))*INDEX(Расчет!S$17:S$19,MATCH($D98&amp;"/RUB",$C$17:$C$19,0))),0)</f>
        <v>0</v>
      </c>
    </row>
    <row r="194" spans="1:19" s="2" customFormat="1" ht="16.5" x14ac:dyDescent="0.3">
      <c r="A194" s="238"/>
      <c r="B194" s="238"/>
      <c r="C194" s="234" t="s">
        <v>20</v>
      </c>
      <c r="D194" s="242" t="s">
        <v>12</v>
      </c>
      <c r="E194" s="237">
        <f t="shared" si="68"/>
        <v>0</v>
      </c>
      <c r="F194" s="243">
        <f t="shared" si="69"/>
        <v>0</v>
      </c>
      <c r="G194" s="252"/>
      <c r="H194" s="237">
        <f>IFERROR(IF($D99="RUB",$E99*H99*(1+H$29),$E99*H99*(1+INDEX(H$30:H$35,MATCH("Инфляция "&amp;$D99,$C$30:$C$35,0)+1))*INDEX(Расчет!H$17:H$19,MATCH($D99&amp;"/RUB",$C$17:$C$19,0))),0)</f>
        <v>0</v>
      </c>
      <c r="I194" s="237">
        <f>IFERROR(IF($D99="RUB",$E99*I99*(1+I$29),$E99*I99*(1+INDEX(I$30:I$35,MATCH("Инфляция "&amp;$D99,$C$30:$C$35,0)+1))*INDEX(Расчет!I$17:I$19,MATCH($D99&amp;"/RUB",$C$17:$C$19,0))),0)</f>
        <v>0</v>
      </c>
      <c r="J194" s="237">
        <f>IFERROR(IF($D99="RUB",$E99*J99*(1+J$29),$E99*J99*(1+INDEX(J$30:J$35,MATCH("Инфляция "&amp;$D99,$C$30:$C$35,0)+1))*INDEX(Расчет!J$17:J$19,MATCH($D99&amp;"/RUB",$C$17:$C$19,0))),0)</f>
        <v>0</v>
      </c>
      <c r="K194" s="237">
        <f>IFERROR(IF($D99="RUB",$E99*K99*(1+K$29),$E99*K99*(1+INDEX(K$30:K$35,MATCH("Инфляция "&amp;$D99,$C$30:$C$35,0)+1))*INDEX(Расчет!K$17:K$19,MATCH($D99&amp;"/RUB",$C$17:$C$19,0))),0)</f>
        <v>0</v>
      </c>
      <c r="L194" s="237">
        <f>IFERROR(IF($D99="RUB",$E99*L99*(1+L$29),$E99*L99*(1+INDEX(L$30:L$35,MATCH("Инфляция "&amp;$D99,$C$30:$C$35,0)+1))*INDEX(Расчет!L$17:L$19,MATCH($D99&amp;"/RUB",$C$17:$C$19,0))),0)</f>
        <v>0</v>
      </c>
      <c r="M194" s="237">
        <f>IFERROR(IF($D99="RUB",$E99*M99*(1+M$29),$E99*M99*(1+INDEX(M$30:M$35,MATCH("Инфляция "&amp;$D99,$C$30:$C$35,0)+1))*INDEX(Расчет!M$17:M$19,MATCH($D99&amp;"/RUB",$C$17:$C$19,0))),0)</f>
        <v>0</v>
      </c>
      <c r="N194" s="237">
        <f>IFERROR(IF($D99="RUB",$E99*N99*(1+N$29),$E99*N99*(1+INDEX(N$30:N$35,MATCH("Инфляция "&amp;$D99,$C$30:$C$35,0)+1))*INDEX(Расчет!N$17:N$19,MATCH($D99&amp;"/RUB",$C$17:$C$19,0))),0)</f>
        <v>0</v>
      </c>
      <c r="O194" s="237">
        <f>IFERROR(IF($D99="RUB",$E99*O99*(1+O$29),$E99*O99*(1+INDEX(O$30:O$35,MATCH("Инфляция "&amp;$D99,$C$30:$C$35,0)+1))*INDEX(Расчет!O$17:O$19,MATCH($D99&amp;"/RUB",$C$17:$C$19,0))),0)</f>
        <v>0</v>
      </c>
      <c r="P194" s="237">
        <f>IFERROR(IF($D99="RUB",$E99*P99*(1+P$29),$E99*P99*(1+INDEX(P$30:P$35,MATCH("Инфляция "&amp;$D99,$C$30:$C$35,0)+1))*INDEX(Расчет!P$17:P$19,MATCH($D99&amp;"/RUB",$C$17:$C$19,0))),0)</f>
        <v>0</v>
      </c>
      <c r="Q194" s="237">
        <f>IFERROR(IF($D99="RUB",$E99*Q99*(1+Q$29),$E99*Q99*(1+INDEX(Q$30:Q$35,MATCH("Инфляция "&amp;$D99,$C$30:$C$35,0)+1))*INDEX(Расчет!Q$17:Q$19,MATCH($D99&amp;"/RUB",$C$17:$C$19,0))),0)</f>
        <v>0</v>
      </c>
      <c r="R194" s="237">
        <f>IFERROR(IF($D99="RUB",$E99*R99*(1+R$29),$E99*R99*(1+INDEX(R$30:R$35,MATCH("Инфляция "&amp;$D99,$C$30:$C$35,0)+1))*INDEX(Расчет!R$17:R$19,MATCH($D99&amp;"/RUB",$C$17:$C$19,0))),0)</f>
        <v>0</v>
      </c>
      <c r="S194" s="237">
        <f>IFERROR(IF($D99="RUB",$E99*S99*(1+S$29),$E99*S99*(1+INDEX(S$30:S$35,MATCH("Инфляция "&amp;$D99,$C$30:$C$35,0)+1))*INDEX(Расчет!S$17:S$19,MATCH($D99&amp;"/RUB",$C$17:$C$19,0))),0)</f>
        <v>0</v>
      </c>
    </row>
    <row r="195" spans="1:19" s="2" customFormat="1" ht="16.5" x14ac:dyDescent="0.3">
      <c r="A195" s="238"/>
      <c r="B195" s="238"/>
      <c r="C195" s="200" t="s">
        <v>134</v>
      </c>
      <c r="D195" s="242" t="s">
        <v>12</v>
      </c>
      <c r="E195" s="237">
        <f t="shared" ca="1" si="68"/>
        <v>0</v>
      </c>
      <c r="F195" s="243">
        <f t="shared" si="69"/>
        <v>0</v>
      </c>
      <c r="G195" s="251"/>
      <c r="H195" s="237">
        <f ca="1">IFERROR(IF($D100="RUB",$E100*H100*(1+H$29),$E100*H100*(1+INDEX(H$30:H$35,MATCH("Инфляция "&amp;$D100,$C$30:$C$35,0)+1))*INDEX(Расчет!H$17:H$19,MATCH($D100&amp;"/RUB",$C$17:$C$19,0))),0)</f>
        <v>0</v>
      </c>
      <c r="I195" s="237">
        <f ca="1">IFERROR(IF($D100="RUB",$E100*I100*(1+I$29),$E100*I100*(1+INDEX(I$30:I$35,MATCH("Инфляция "&amp;$D100,$C$30:$C$35,0)+1))*INDEX(Расчет!I$17:I$19,MATCH($D100&amp;"/RUB",$C$17:$C$19,0))),0)</f>
        <v>0</v>
      </c>
      <c r="J195" s="237">
        <f ca="1">IFERROR(IF($D100="RUB",$E100*J100*(1+J$29),$E100*J100*(1+INDEX(J$30:J$35,MATCH("Инфляция "&amp;$D100,$C$30:$C$35,0)+1))*INDEX(Расчет!J$17:J$19,MATCH($D100&amp;"/RUB",$C$17:$C$19,0))),0)</f>
        <v>0</v>
      </c>
      <c r="K195" s="237">
        <f ca="1">IFERROR(IF($D100="RUB",$E100*K100*(1+K$29),$E100*K100*(1+INDEX(K$30:K$35,MATCH("Инфляция "&amp;$D100,$C$30:$C$35,0)+1))*INDEX(Расчет!K$17:K$19,MATCH($D100&amp;"/RUB",$C$17:$C$19,0))),0)</f>
        <v>0</v>
      </c>
      <c r="L195" s="237">
        <f ca="1">IFERROR(IF($D100="RUB",$E100*L100*(1+L$29),$E100*L100*(1+INDEX(L$30:L$35,MATCH("Инфляция "&amp;$D100,$C$30:$C$35,0)+1))*INDEX(Расчет!L$17:L$19,MATCH($D100&amp;"/RUB",$C$17:$C$19,0))),0)</f>
        <v>0</v>
      </c>
      <c r="M195" s="237">
        <f ca="1">IFERROR(IF($D100="RUB",$E100*M100*(1+M$29),$E100*M100*(1+INDEX(M$30:M$35,MATCH("Инфляция "&amp;$D100,$C$30:$C$35,0)+1))*INDEX(Расчет!M$17:M$19,MATCH($D100&amp;"/RUB",$C$17:$C$19,0))),0)</f>
        <v>0</v>
      </c>
      <c r="N195" s="237">
        <f ca="1">IFERROR(IF($D100="RUB",$E100*N100*(1+N$29),$E100*N100*(1+INDEX(N$30:N$35,MATCH("Инфляция "&amp;$D100,$C$30:$C$35,0)+1))*INDEX(Расчет!N$17:N$19,MATCH($D100&amp;"/RUB",$C$17:$C$19,0))),0)</f>
        <v>0</v>
      </c>
      <c r="O195" s="237">
        <f ca="1">IFERROR(IF($D100="RUB",$E100*O100*(1+O$29),$E100*O100*(1+INDEX(O$30:O$35,MATCH("Инфляция "&amp;$D100,$C$30:$C$35,0)+1))*INDEX(Расчет!O$17:O$19,MATCH($D100&amp;"/RUB",$C$17:$C$19,0))),0)</f>
        <v>0</v>
      </c>
      <c r="P195" s="237">
        <f ca="1">IFERROR(IF($D100="RUB",$E100*P100*(1+P$29),$E100*P100*(1+INDEX(P$30:P$35,MATCH("Инфляция "&amp;$D100,$C$30:$C$35,0)+1))*INDEX(Расчет!P$17:P$19,MATCH($D100&amp;"/RUB",$C$17:$C$19,0))),0)</f>
        <v>0</v>
      </c>
      <c r="Q195" s="237">
        <f ca="1">IFERROR(IF($D100="RUB",$E100*Q100*(1+Q$29),$E100*Q100*(1+INDEX(Q$30:Q$35,MATCH("Инфляция "&amp;$D100,$C$30:$C$35,0)+1))*INDEX(Расчет!Q$17:Q$19,MATCH($D100&amp;"/RUB",$C$17:$C$19,0))),0)</f>
        <v>0</v>
      </c>
      <c r="R195" s="237">
        <f ca="1">IFERROR(IF($D100="RUB",$E100*R100*(1+R$29),$E100*R100*(1+INDEX(R$30:R$35,MATCH("Инфляция "&amp;$D100,$C$30:$C$35,0)+1))*INDEX(Расчет!R$17:R$19,MATCH($D100&amp;"/RUB",$C$17:$C$19,0))),0)</f>
        <v>0</v>
      </c>
      <c r="S195" s="237">
        <f ca="1">IFERROR(IF($D100="RUB",$E100*S100*(1+S$29),$E100*S100*(1+INDEX(S$30:S$35,MATCH("Инфляция "&amp;$D100,$C$30:$C$35,0)+1))*INDEX(Расчет!S$17:S$19,MATCH($D100&amp;"/RUB",$C$17:$C$19,0))),0)</f>
        <v>0</v>
      </c>
    </row>
    <row r="196" spans="1:19" s="2" customFormat="1" ht="16.5" x14ac:dyDescent="0.3">
      <c r="A196" s="238"/>
      <c r="B196" s="238"/>
      <c r="C196" s="200" t="s">
        <v>134</v>
      </c>
      <c r="D196" s="242" t="s">
        <v>12</v>
      </c>
      <c r="E196" s="237">
        <f t="shared" si="68"/>
        <v>361570.89622025122</v>
      </c>
      <c r="F196" s="243">
        <f t="shared" si="69"/>
        <v>0</v>
      </c>
      <c r="G196" s="251"/>
      <c r="H196" s="237">
        <f>IFERROR(IF($D101="RUB",$E101*H101*(1+H$29),$E101*H101*(1+INDEX(H$30:H$35,MATCH("Инфляция "&amp;$D101,$C$30:$C$35,0)+1))*INDEX(Расчет!H$17:H$19,MATCH($D101&amp;"/RUB",$C$17:$C$19,0))),0)</f>
        <v>120126.07084237671</v>
      </c>
      <c r="I196" s="237">
        <f>IFERROR(IF($D101="RUB",$E101*I101*(1+I$29),$E101*I101*(1+INDEX(I$30:I$35,MATCH("Инфляция "&amp;$D101,$C$30:$C$35,0)+1))*INDEX(Расчет!I$17:I$19,MATCH($D101&amp;"/RUB",$C$17:$C$19,0))),0)</f>
        <v>0</v>
      </c>
      <c r="J196" s="237">
        <f>IFERROR(IF($D101="RUB",$E101*J101*(1+J$29),$E101*J101*(1+INDEX(J$30:J$35,MATCH("Инфляция "&amp;$D101,$C$30:$C$35,0)+1))*INDEX(Расчет!J$17:J$19,MATCH($D101&amp;"/RUB",$C$17:$C$19,0))),0)</f>
        <v>120523.19445771119</v>
      </c>
      <c r="K196" s="237">
        <f>IFERROR(IF($D101="RUB",$E101*K101*(1+K$29),$E101*K101*(1+INDEX(K$30:K$35,MATCH("Инфляция "&amp;$D101,$C$30:$C$35,0)+1))*INDEX(Расчет!K$17:K$19,MATCH($D101&amp;"/RUB",$C$17:$C$19,0))),0)</f>
        <v>0</v>
      </c>
      <c r="L196" s="237">
        <f>IFERROR(IF($D101="RUB",$E101*L101*(1+L$29),$E101*L101*(1+INDEX(L$30:L$35,MATCH("Инфляция "&amp;$D101,$C$30:$C$35,0)+1))*INDEX(Расчет!L$17:L$19,MATCH($D101&amp;"/RUB",$C$17:$C$19,0))),0)</f>
        <v>120921.63092016331</v>
      </c>
      <c r="M196" s="237">
        <f>IFERROR(IF($D101="RUB",$E101*M101*(1+M$29),$E101*M101*(1+INDEX(M$30:M$35,MATCH("Инфляция "&amp;$D101,$C$30:$C$35,0)+1))*INDEX(Расчет!M$17:M$19,MATCH($D101&amp;"/RUB",$C$17:$C$19,0))),0)</f>
        <v>0</v>
      </c>
      <c r="N196" s="237">
        <f>IFERROR(IF($D101="RUB",$E101*N101*(1+N$29),$E101*N101*(1+INDEX(N$30:N$35,MATCH("Инфляция "&amp;$D101,$C$30:$C$35,0)+1))*INDEX(Расчет!N$17:N$19,MATCH($D101&amp;"/RUB",$C$17:$C$19,0))),0)</f>
        <v>0</v>
      </c>
      <c r="O196" s="237">
        <f>IFERROR(IF($D101="RUB",$E101*O101*(1+O$29),$E101*O101*(1+INDEX(O$30:O$35,MATCH("Инфляция "&amp;$D101,$C$30:$C$35,0)+1))*INDEX(Расчет!O$17:O$19,MATCH($D101&amp;"/RUB",$C$17:$C$19,0))),0)</f>
        <v>0</v>
      </c>
      <c r="P196" s="237">
        <f>IFERROR(IF($D101="RUB",$E101*P101*(1+P$29),$E101*P101*(1+INDEX(P$30:P$35,MATCH("Инфляция "&amp;$D101,$C$30:$C$35,0)+1))*INDEX(Расчет!P$17:P$19,MATCH($D101&amp;"/RUB",$C$17:$C$19,0))),0)</f>
        <v>0</v>
      </c>
      <c r="Q196" s="237">
        <f>IFERROR(IF($D101="RUB",$E101*Q101*(1+Q$29),$E101*Q101*(1+INDEX(Q$30:Q$35,MATCH("Инфляция "&amp;$D101,$C$30:$C$35,0)+1))*INDEX(Расчет!Q$17:Q$19,MATCH($D101&amp;"/RUB",$C$17:$C$19,0))),0)</f>
        <v>0</v>
      </c>
      <c r="R196" s="237">
        <f>IFERROR(IF($D101="RUB",$E101*R101*(1+R$29),$E101*R101*(1+INDEX(R$30:R$35,MATCH("Инфляция "&amp;$D101,$C$30:$C$35,0)+1))*INDEX(Расчет!R$17:R$19,MATCH($D101&amp;"/RUB",$C$17:$C$19,0))),0)</f>
        <v>0</v>
      </c>
      <c r="S196" s="237">
        <f>IFERROR(IF($D101="RUB",$E101*S101*(1+S$29),$E101*S101*(1+INDEX(S$30:S$35,MATCH("Инфляция "&amp;$D101,$C$30:$C$35,0)+1))*INDEX(Расчет!S$17:S$19,MATCH($D101&amp;"/RUB",$C$17:$C$19,0))),0)</f>
        <v>0</v>
      </c>
    </row>
    <row r="197" spans="1:19" s="2" customFormat="1" ht="16.5" x14ac:dyDescent="0.3">
      <c r="A197" s="238"/>
      <c r="B197" s="238"/>
      <c r="C197" s="200" t="s">
        <v>134</v>
      </c>
      <c r="D197" s="242" t="s">
        <v>12</v>
      </c>
      <c r="E197" s="237">
        <f t="shared" si="68"/>
        <v>0</v>
      </c>
      <c r="F197" s="243">
        <f t="shared" si="69"/>
        <v>0</v>
      </c>
      <c r="G197" s="251"/>
      <c r="H197" s="237">
        <f>IFERROR(IF($D102="RUB",$E102*H102*(1+H$29),$E102*H102*(1+INDEX(H$30:H$35,MATCH("Инфляция "&amp;$D102,$C$30:$C$35,0)+1))*INDEX(Расчет!H$17:H$19,MATCH($D102&amp;"/RUB",$C$17:$C$19,0))),0)</f>
        <v>0</v>
      </c>
      <c r="I197" s="237">
        <f>IFERROR(IF($D102="RUB",$E102*I102*(1+I$29),$E102*I102*(1+INDEX(I$30:I$35,MATCH("Инфляция "&amp;$D102,$C$30:$C$35,0)+1))*INDEX(Расчет!I$17:I$19,MATCH($D102&amp;"/RUB",$C$17:$C$19,0))),0)</f>
        <v>0</v>
      </c>
      <c r="J197" s="237">
        <f>IFERROR(IF($D102="RUB",$E102*J102*(1+J$29),$E102*J102*(1+INDEX(J$30:J$35,MATCH("Инфляция "&amp;$D102,$C$30:$C$35,0)+1))*INDEX(Расчет!J$17:J$19,MATCH($D102&amp;"/RUB",$C$17:$C$19,0))),0)</f>
        <v>0</v>
      </c>
      <c r="K197" s="237">
        <f>IFERROR(IF($D102="RUB",$E102*K102*(1+K$29),$E102*K102*(1+INDEX(K$30:K$35,MATCH("Инфляция "&amp;$D102,$C$30:$C$35,0)+1))*INDEX(Расчет!K$17:K$19,MATCH($D102&amp;"/RUB",$C$17:$C$19,0))),0)</f>
        <v>0</v>
      </c>
      <c r="L197" s="237">
        <f>IFERROR(IF($D102="RUB",$E102*L102*(1+L$29),$E102*L102*(1+INDEX(L$30:L$35,MATCH("Инфляция "&amp;$D102,$C$30:$C$35,0)+1))*INDEX(Расчет!L$17:L$19,MATCH($D102&amp;"/RUB",$C$17:$C$19,0))),0)</f>
        <v>0</v>
      </c>
      <c r="M197" s="237">
        <f>IFERROR(IF($D102="RUB",$E102*M102*(1+M$29),$E102*M102*(1+INDEX(M$30:M$35,MATCH("Инфляция "&amp;$D102,$C$30:$C$35,0)+1))*INDEX(Расчет!M$17:M$19,MATCH($D102&amp;"/RUB",$C$17:$C$19,0))),0)</f>
        <v>0</v>
      </c>
      <c r="N197" s="237">
        <f>IFERROR(IF($D102="RUB",$E102*N102*(1+N$29),$E102*N102*(1+INDEX(N$30:N$35,MATCH("Инфляция "&amp;$D102,$C$30:$C$35,0)+1))*INDEX(Расчет!N$17:N$19,MATCH($D102&amp;"/RUB",$C$17:$C$19,0))),0)</f>
        <v>0</v>
      </c>
      <c r="O197" s="237">
        <f>IFERROR(IF($D102="RUB",$E102*O102*(1+O$29),$E102*O102*(1+INDEX(O$30:O$35,MATCH("Инфляция "&amp;$D102,$C$30:$C$35,0)+1))*INDEX(Расчет!O$17:O$19,MATCH($D102&amp;"/RUB",$C$17:$C$19,0))),0)</f>
        <v>0</v>
      </c>
      <c r="P197" s="237">
        <f>IFERROR(IF($D102="RUB",$E102*P102*(1+P$29),$E102*P102*(1+INDEX(P$30:P$35,MATCH("Инфляция "&amp;$D102,$C$30:$C$35,0)+1))*INDEX(Расчет!P$17:P$19,MATCH($D102&amp;"/RUB",$C$17:$C$19,0))),0)</f>
        <v>0</v>
      </c>
      <c r="Q197" s="237">
        <f>IFERROR(IF($D102="RUB",$E102*Q102*(1+Q$29),$E102*Q102*(1+INDEX(Q$30:Q$35,MATCH("Инфляция "&amp;$D102,$C$30:$C$35,0)+1))*INDEX(Расчет!Q$17:Q$19,MATCH($D102&amp;"/RUB",$C$17:$C$19,0))),0)</f>
        <v>0</v>
      </c>
      <c r="R197" s="237">
        <f>IFERROR(IF($D102="RUB",$E102*R102*(1+R$29),$E102*R102*(1+INDEX(R$30:R$35,MATCH("Инфляция "&amp;$D102,$C$30:$C$35,0)+1))*INDEX(Расчет!R$17:R$19,MATCH($D102&amp;"/RUB",$C$17:$C$19,0))),0)</f>
        <v>0</v>
      </c>
      <c r="S197" s="237">
        <f>IFERROR(IF($D102="RUB",$E102*S102*(1+S$29),$E102*S102*(1+INDEX(S$30:S$35,MATCH("Инфляция "&amp;$D102,$C$30:$C$35,0)+1))*INDEX(Расчет!S$17:S$19,MATCH($D102&amp;"/RUB",$C$17:$C$19,0))),0)</f>
        <v>0</v>
      </c>
    </row>
    <row r="198" spans="1:19" s="2" customFormat="1" ht="16.5" x14ac:dyDescent="0.3">
      <c r="A198" s="238"/>
      <c r="B198" s="238"/>
      <c r="C198" s="200" t="s">
        <v>134</v>
      </c>
      <c r="D198" s="242" t="s">
        <v>12</v>
      </c>
      <c r="E198" s="237">
        <f t="shared" si="68"/>
        <v>0</v>
      </c>
      <c r="F198" s="243">
        <f t="shared" si="69"/>
        <v>0</v>
      </c>
      <c r="G198" s="251"/>
      <c r="H198" s="237">
        <f>IFERROR(IF($D103="RUB",$E103*H103*(1+H$29),$E103*H103*(1+INDEX(H$30:H$35,MATCH("Инфляция "&amp;$D103,$C$30:$C$35,0)+1))*INDEX(Расчет!H$17:H$19,MATCH($D103&amp;"/RUB",$C$17:$C$19,0))),0)</f>
        <v>0</v>
      </c>
      <c r="I198" s="237">
        <f>IFERROR(IF($D103="RUB",$E103*I103*(1+I$29),$E103*I103*(1+INDEX(I$30:I$35,MATCH("Инфляция "&amp;$D103,$C$30:$C$35,0)+1))*INDEX(Расчет!I$17:I$19,MATCH($D103&amp;"/RUB",$C$17:$C$19,0))),0)</f>
        <v>0</v>
      </c>
      <c r="J198" s="237">
        <f>IFERROR(IF($D103="RUB",$E103*J103*(1+J$29),$E103*J103*(1+INDEX(J$30:J$35,MATCH("Инфляция "&amp;$D103,$C$30:$C$35,0)+1))*INDEX(Расчет!J$17:J$19,MATCH($D103&amp;"/RUB",$C$17:$C$19,0))),0)</f>
        <v>0</v>
      </c>
      <c r="K198" s="237">
        <f>IFERROR(IF($D103="RUB",$E103*K103*(1+K$29),$E103*K103*(1+INDEX(K$30:K$35,MATCH("Инфляция "&amp;$D103,$C$30:$C$35,0)+1))*INDEX(Расчет!K$17:K$19,MATCH($D103&amp;"/RUB",$C$17:$C$19,0))),0)</f>
        <v>0</v>
      </c>
      <c r="L198" s="237">
        <f>IFERROR(IF($D103="RUB",$E103*L103*(1+L$29),$E103*L103*(1+INDEX(L$30:L$35,MATCH("Инфляция "&amp;$D103,$C$30:$C$35,0)+1))*INDEX(Расчет!L$17:L$19,MATCH($D103&amp;"/RUB",$C$17:$C$19,0))),0)</f>
        <v>0</v>
      </c>
      <c r="M198" s="237">
        <f>IFERROR(IF($D103="RUB",$E103*M103*(1+M$29),$E103*M103*(1+INDEX(M$30:M$35,MATCH("Инфляция "&amp;$D103,$C$30:$C$35,0)+1))*INDEX(Расчет!M$17:M$19,MATCH($D103&amp;"/RUB",$C$17:$C$19,0))),0)</f>
        <v>0</v>
      </c>
      <c r="N198" s="237">
        <f>IFERROR(IF($D103="RUB",$E103*N103*(1+N$29),$E103*N103*(1+INDEX(N$30:N$35,MATCH("Инфляция "&amp;$D103,$C$30:$C$35,0)+1))*INDEX(Расчет!N$17:N$19,MATCH($D103&amp;"/RUB",$C$17:$C$19,0))),0)</f>
        <v>0</v>
      </c>
      <c r="O198" s="237">
        <f>IFERROR(IF($D103="RUB",$E103*O103*(1+O$29),$E103*O103*(1+INDEX(O$30:O$35,MATCH("Инфляция "&amp;$D103,$C$30:$C$35,0)+1))*INDEX(Расчет!O$17:O$19,MATCH($D103&amp;"/RUB",$C$17:$C$19,0))),0)</f>
        <v>0</v>
      </c>
      <c r="P198" s="237">
        <f>IFERROR(IF($D103="RUB",$E103*P103*(1+P$29),$E103*P103*(1+INDEX(P$30:P$35,MATCH("Инфляция "&amp;$D103,$C$30:$C$35,0)+1))*INDEX(Расчет!P$17:P$19,MATCH($D103&amp;"/RUB",$C$17:$C$19,0))),0)</f>
        <v>0</v>
      </c>
      <c r="Q198" s="237">
        <f>IFERROR(IF($D103="RUB",$E103*Q103*(1+Q$29),$E103*Q103*(1+INDEX(Q$30:Q$35,MATCH("Инфляция "&amp;$D103,$C$30:$C$35,0)+1))*INDEX(Расчет!Q$17:Q$19,MATCH($D103&amp;"/RUB",$C$17:$C$19,0))),0)</f>
        <v>0</v>
      </c>
      <c r="R198" s="237">
        <f>IFERROR(IF($D103="RUB",$E103*R103*(1+R$29),$E103*R103*(1+INDEX(R$30:R$35,MATCH("Инфляция "&amp;$D103,$C$30:$C$35,0)+1))*INDEX(Расчет!R$17:R$19,MATCH($D103&amp;"/RUB",$C$17:$C$19,0))),0)</f>
        <v>0</v>
      </c>
      <c r="S198" s="237">
        <f>IFERROR(IF($D103="RUB",$E103*S103*(1+S$29),$E103*S103*(1+INDEX(S$30:S$35,MATCH("Инфляция "&amp;$D103,$C$30:$C$35,0)+1))*INDEX(Расчет!S$17:S$19,MATCH($D103&amp;"/RUB",$C$17:$C$19,0))),0)</f>
        <v>0</v>
      </c>
    </row>
    <row r="199" spans="1:19" s="2" customFormat="1" ht="16.5" x14ac:dyDescent="0.3">
      <c r="A199" s="238"/>
      <c r="B199" s="238"/>
      <c r="C199" s="200" t="s">
        <v>142</v>
      </c>
      <c r="D199" s="242" t="s">
        <v>12</v>
      </c>
      <c r="E199" s="237">
        <f t="shared" ref="E199:E210" ca="1" si="70">SUM(H199:S199)</f>
        <v>15465.572606150785</v>
      </c>
      <c r="F199" s="243">
        <f t="shared" ref="F199:F210" si="71">F104</f>
        <v>0.2</v>
      </c>
      <c r="G199" s="251"/>
      <c r="H199" s="237">
        <f ca="1">IFERROR(IF($D104="RUB",$E104*H104*(1+H$29),$E104*H104*(1+INDEX(H$30:H$35,MATCH("Инфляция "&amp;$D104,$C$30:$C$35,0)+1))*INDEX(Расчет!H$17:H$19,MATCH($D104&amp;"/RUB",$C$17:$C$19,0))),0)</f>
        <v>0</v>
      </c>
      <c r="I199" s="237">
        <f ca="1">IFERROR(IF($D104="RUB",$E104*I104*(1+I$29),$E104*I104*(1+INDEX(I$30:I$35,MATCH("Инфляция "&amp;$D104,$C$30:$C$35,0)+1))*INDEX(Расчет!I$17:I$19,MATCH($D104&amp;"/RUB",$C$17:$C$19,0))),0)</f>
        <v>0</v>
      </c>
      <c r="J199" s="237">
        <f ca="1">IFERROR(IF($D104="RUB",$E104*J104*(1+J$29),$E104*J104*(1+INDEX(J$30:J$35,MATCH("Инфляция "&amp;$D104,$C$30:$C$35,0)+1))*INDEX(Расчет!J$17:J$19,MATCH($D104&amp;"/RUB",$C$17:$C$19,0))),0)</f>
        <v>0</v>
      </c>
      <c r="K199" s="237">
        <f ca="1">IFERROR(IF($D104="RUB",$E104*K104*(1+K$29),$E104*K104*(1+INDEX(K$30:K$35,MATCH("Инфляция "&amp;$D104,$C$30:$C$35,0)+1))*INDEX(Расчет!K$17:K$19,MATCH($D104&amp;"/RUB",$C$17:$C$19,0))),0)</f>
        <v>0</v>
      </c>
      <c r="L199" s="237">
        <f ca="1">IFERROR(IF($D104="RUB",$E104*L104*(1+L$29),$E104*L104*(1+INDEX(L$30:L$35,MATCH("Инфляция "&amp;$D104,$C$30:$C$35,0)+1))*INDEX(Расчет!L$17:L$19,MATCH($D104&amp;"/RUB",$C$17:$C$19,0))),0)</f>
        <v>7711.301605598891</v>
      </c>
      <c r="M199" s="237">
        <f ca="1">IFERROR(IF($D104="RUB",$E104*M104*(1+M$29),$E104*M104*(1+INDEX(M$30:M$35,MATCH("Инфляция "&amp;$D104,$C$30:$C$35,0)+1))*INDEX(Расчет!M$17:M$19,MATCH($D104&amp;"/RUB",$C$17:$C$19,0))),0)</f>
        <v>7754.2710005518948</v>
      </c>
      <c r="N199" s="237">
        <f ca="1">IFERROR(IF($D104="RUB",$E104*N104*(1+N$29),$E104*N104*(1+INDEX(N$30:N$35,MATCH("Инфляция "&amp;$D104,$C$30:$C$35,0)+1))*INDEX(Расчет!N$17:N$19,MATCH($D104&amp;"/RUB",$C$17:$C$19,0))),0)</f>
        <v>0</v>
      </c>
      <c r="O199" s="237">
        <f ca="1">IFERROR(IF($D104="RUB",$E104*O104*(1+O$29),$E104*O104*(1+INDEX(O$30:O$35,MATCH("Инфляция "&amp;$D104,$C$30:$C$35,0)+1))*INDEX(Расчет!O$17:O$19,MATCH($D104&amp;"/RUB",$C$17:$C$19,0))),0)</f>
        <v>0</v>
      </c>
      <c r="P199" s="237">
        <f ca="1">IFERROR(IF($D104="RUB",$E104*P104*(1+P$29),$E104*P104*(1+INDEX(P$30:P$35,MATCH("Инфляция "&amp;$D104,$C$30:$C$35,0)+1))*INDEX(Расчет!P$17:P$19,MATCH($D104&amp;"/RUB",$C$17:$C$19,0))),0)</f>
        <v>0</v>
      </c>
      <c r="Q199" s="237">
        <f ca="1">IFERROR(IF($D104="RUB",$E104*Q104*(1+Q$29),$E104*Q104*(1+INDEX(Q$30:Q$35,MATCH("Инфляция "&amp;$D104,$C$30:$C$35,0)+1))*INDEX(Расчет!Q$17:Q$19,MATCH($D104&amp;"/RUB",$C$17:$C$19,0))),0)</f>
        <v>0</v>
      </c>
      <c r="R199" s="237">
        <f ca="1">IFERROR(IF($D104="RUB",$E104*R104*(1+R$29),$E104*R104*(1+INDEX(R$30:R$35,MATCH("Инфляция "&amp;$D104,$C$30:$C$35,0)+1))*INDEX(Расчет!R$17:R$19,MATCH($D104&amp;"/RUB",$C$17:$C$19,0))),0)</f>
        <v>0</v>
      </c>
      <c r="S199" s="237">
        <f ca="1">IFERROR(IF($D104="RUB",$E104*S104*(1+S$29),$E104*S104*(1+INDEX(S$30:S$35,MATCH("Инфляция "&amp;$D104,$C$30:$C$35,0)+1))*INDEX(Расчет!S$17:S$19,MATCH($D104&amp;"/RUB",$C$17:$C$19,0))),0)</f>
        <v>0</v>
      </c>
    </row>
    <row r="200" spans="1:19" s="2" customFormat="1" ht="16.5" x14ac:dyDescent="0.3">
      <c r="A200" s="238"/>
      <c r="B200" s="238"/>
      <c r="C200" s="200" t="s">
        <v>142</v>
      </c>
      <c r="D200" s="242" t="s">
        <v>12</v>
      </c>
      <c r="E200" s="237">
        <f t="shared" si="70"/>
        <v>0</v>
      </c>
      <c r="F200" s="243">
        <f t="shared" si="71"/>
        <v>0</v>
      </c>
      <c r="G200" s="251"/>
      <c r="H200" s="237">
        <f>IFERROR(IF($D105="RUB",$E105*H105*(1+H$29),$E105*H105*(1+INDEX(H$30:H$35,MATCH("Инфляция "&amp;$D105,$C$30:$C$35,0)+1))*INDEX(Расчет!H$17:H$19,MATCH($D105&amp;"/RUB",$C$17:$C$19,0))),0)</f>
        <v>0</v>
      </c>
      <c r="I200" s="237">
        <f>IFERROR(IF($D105="RUB",$E105*I105*(1+I$29),$E105*I105*(1+INDEX(I$30:I$35,MATCH("Инфляция "&amp;$D105,$C$30:$C$35,0)+1))*INDEX(Расчет!I$17:I$19,MATCH($D105&amp;"/RUB",$C$17:$C$19,0))),0)</f>
        <v>0</v>
      </c>
      <c r="J200" s="237">
        <f>IFERROR(IF($D105="RUB",$E105*J105*(1+J$29),$E105*J105*(1+INDEX(J$30:J$35,MATCH("Инфляция "&amp;$D105,$C$30:$C$35,0)+1))*INDEX(Расчет!J$17:J$19,MATCH($D105&amp;"/RUB",$C$17:$C$19,0))),0)</f>
        <v>0</v>
      </c>
      <c r="K200" s="237">
        <f>IFERROR(IF($D105="RUB",$E105*K105*(1+K$29),$E105*K105*(1+INDEX(K$30:K$35,MATCH("Инфляция "&amp;$D105,$C$30:$C$35,0)+1))*INDEX(Расчет!K$17:K$19,MATCH($D105&amp;"/RUB",$C$17:$C$19,0))),0)</f>
        <v>0</v>
      </c>
      <c r="L200" s="237">
        <f>IFERROR(IF($D105="RUB",$E105*L105*(1+L$29),$E105*L105*(1+INDEX(L$30:L$35,MATCH("Инфляция "&amp;$D105,$C$30:$C$35,0)+1))*INDEX(Расчет!L$17:L$19,MATCH($D105&amp;"/RUB",$C$17:$C$19,0))),0)</f>
        <v>0</v>
      </c>
      <c r="M200" s="237">
        <f>IFERROR(IF($D105="RUB",$E105*M105*(1+M$29),$E105*M105*(1+INDEX(M$30:M$35,MATCH("Инфляция "&amp;$D105,$C$30:$C$35,0)+1))*INDEX(Расчет!M$17:M$19,MATCH($D105&amp;"/RUB",$C$17:$C$19,0))),0)</f>
        <v>0</v>
      </c>
      <c r="N200" s="237">
        <f>IFERROR(IF($D105="RUB",$E105*N105*(1+N$29),$E105*N105*(1+INDEX(N$30:N$35,MATCH("Инфляция "&amp;$D105,$C$30:$C$35,0)+1))*INDEX(Расчет!N$17:N$19,MATCH($D105&amp;"/RUB",$C$17:$C$19,0))),0)</f>
        <v>0</v>
      </c>
      <c r="O200" s="237">
        <f>IFERROR(IF($D105="RUB",$E105*O105*(1+O$29),$E105*O105*(1+INDEX(O$30:O$35,MATCH("Инфляция "&amp;$D105,$C$30:$C$35,0)+1))*INDEX(Расчет!O$17:O$19,MATCH($D105&amp;"/RUB",$C$17:$C$19,0))),0)</f>
        <v>0</v>
      </c>
      <c r="P200" s="237">
        <f>IFERROR(IF($D105="RUB",$E105*P105*(1+P$29),$E105*P105*(1+INDEX(P$30:P$35,MATCH("Инфляция "&amp;$D105,$C$30:$C$35,0)+1))*INDEX(Расчет!P$17:P$19,MATCH($D105&amp;"/RUB",$C$17:$C$19,0))),0)</f>
        <v>0</v>
      </c>
      <c r="Q200" s="237">
        <f>IFERROR(IF($D105="RUB",$E105*Q105*(1+Q$29),$E105*Q105*(1+INDEX(Q$30:Q$35,MATCH("Инфляция "&amp;$D105,$C$30:$C$35,0)+1))*INDEX(Расчет!Q$17:Q$19,MATCH($D105&amp;"/RUB",$C$17:$C$19,0))),0)</f>
        <v>0</v>
      </c>
      <c r="R200" s="237">
        <f>IFERROR(IF($D105="RUB",$E105*R105*(1+R$29),$E105*R105*(1+INDEX(R$30:R$35,MATCH("Инфляция "&amp;$D105,$C$30:$C$35,0)+1))*INDEX(Расчет!R$17:R$19,MATCH($D105&amp;"/RUB",$C$17:$C$19,0))),0)</f>
        <v>0</v>
      </c>
      <c r="S200" s="237">
        <f>IFERROR(IF($D105="RUB",$E105*S105*(1+S$29),$E105*S105*(1+INDEX(S$30:S$35,MATCH("Инфляция "&amp;$D105,$C$30:$C$35,0)+1))*INDEX(Расчет!S$17:S$19,MATCH($D105&amp;"/RUB",$C$17:$C$19,0))),0)</f>
        <v>0</v>
      </c>
    </row>
    <row r="201" spans="1:19" s="2" customFormat="1" ht="16.5" x14ac:dyDescent="0.3">
      <c r="A201" s="238"/>
      <c r="B201" s="238"/>
      <c r="C201" s="200" t="s">
        <v>142</v>
      </c>
      <c r="D201" s="242" t="s">
        <v>12</v>
      </c>
      <c r="E201" s="237">
        <f t="shared" si="70"/>
        <v>0</v>
      </c>
      <c r="F201" s="243">
        <f t="shared" si="71"/>
        <v>0</v>
      </c>
      <c r="G201" s="251"/>
      <c r="H201" s="237">
        <f>IFERROR(IF($D106="RUB",$E106*H106*(1+H$29),$E106*H106*(1+INDEX(H$30:H$35,MATCH("Инфляция "&amp;$D106,$C$30:$C$35,0)+1))*INDEX(Расчет!H$17:H$19,MATCH($D106&amp;"/RUB",$C$17:$C$19,0))),0)</f>
        <v>0</v>
      </c>
      <c r="I201" s="237">
        <f>IFERROR(IF($D106="RUB",$E106*I106*(1+I$29),$E106*I106*(1+INDEX(I$30:I$35,MATCH("Инфляция "&amp;$D106,$C$30:$C$35,0)+1))*INDEX(Расчет!I$17:I$19,MATCH($D106&amp;"/RUB",$C$17:$C$19,0))),0)</f>
        <v>0</v>
      </c>
      <c r="J201" s="237">
        <f>IFERROR(IF($D106="RUB",$E106*J106*(1+J$29),$E106*J106*(1+INDEX(J$30:J$35,MATCH("Инфляция "&amp;$D106,$C$30:$C$35,0)+1))*INDEX(Расчет!J$17:J$19,MATCH($D106&amp;"/RUB",$C$17:$C$19,0))),0)</f>
        <v>0</v>
      </c>
      <c r="K201" s="237">
        <f>IFERROR(IF($D106="RUB",$E106*K106*(1+K$29),$E106*K106*(1+INDEX(K$30:K$35,MATCH("Инфляция "&amp;$D106,$C$30:$C$35,0)+1))*INDEX(Расчет!K$17:K$19,MATCH($D106&amp;"/RUB",$C$17:$C$19,0))),0)</f>
        <v>0</v>
      </c>
      <c r="L201" s="237">
        <f>IFERROR(IF($D106="RUB",$E106*L106*(1+L$29),$E106*L106*(1+INDEX(L$30:L$35,MATCH("Инфляция "&amp;$D106,$C$30:$C$35,0)+1))*INDEX(Расчет!L$17:L$19,MATCH($D106&amp;"/RUB",$C$17:$C$19,0))),0)</f>
        <v>0</v>
      </c>
      <c r="M201" s="237">
        <f>IFERROR(IF($D106="RUB",$E106*M106*(1+M$29),$E106*M106*(1+INDEX(M$30:M$35,MATCH("Инфляция "&amp;$D106,$C$30:$C$35,0)+1))*INDEX(Расчет!M$17:M$19,MATCH($D106&amp;"/RUB",$C$17:$C$19,0))),0)</f>
        <v>0</v>
      </c>
      <c r="N201" s="237">
        <f>IFERROR(IF($D106="RUB",$E106*N106*(1+N$29),$E106*N106*(1+INDEX(N$30:N$35,MATCH("Инфляция "&amp;$D106,$C$30:$C$35,0)+1))*INDEX(Расчет!N$17:N$19,MATCH($D106&amp;"/RUB",$C$17:$C$19,0))),0)</f>
        <v>0</v>
      </c>
      <c r="O201" s="237">
        <f>IFERROR(IF($D106="RUB",$E106*O106*(1+O$29),$E106*O106*(1+INDEX(O$30:O$35,MATCH("Инфляция "&amp;$D106,$C$30:$C$35,0)+1))*INDEX(Расчет!O$17:O$19,MATCH($D106&amp;"/RUB",$C$17:$C$19,0))),0)</f>
        <v>0</v>
      </c>
      <c r="P201" s="237">
        <f>IFERROR(IF($D106="RUB",$E106*P106*(1+P$29),$E106*P106*(1+INDEX(P$30:P$35,MATCH("Инфляция "&amp;$D106,$C$30:$C$35,0)+1))*INDEX(Расчет!P$17:P$19,MATCH($D106&amp;"/RUB",$C$17:$C$19,0))),0)</f>
        <v>0</v>
      </c>
      <c r="Q201" s="237">
        <f>IFERROR(IF($D106="RUB",$E106*Q106*(1+Q$29),$E106*Q106*(1+INDEX(Q$30:Q$35,MATCH("Инфляция "&amp;$D106,$C$30:$C$35,0)+1))*INDEX(Расчет!Q$17:Q$19,MATCH($D106&amp;"/RUB",$C$17:$C$19,0))),0)</f>
        <v>0</v>
      </c>
      <c r="R201" s="237">
        <f>IFERROR(IF($D106="RUB",$E106*R106*(1+R$29),$E106*R106*(1+INDEX(R$30:R$35,MATCH("Инфляция "&amp;$D106,$C$30:$C$35,0)+1))*INDEX(Расчет!R$17:R$19,MATCH($D106&amp;"/RUB",$C$17:$C$19,0))),0)</f>
        <v>0</v>
      </c>
      <c r="S201" s="237">
        <f>IFERROR(IF($D106="RUB",$E106*S106*(1+S$29),$E106*S106*(1+INDEX(S$30:S$35,MATCH("Инфляция "&amp;$D106,$C$30:$C$35,0)+1))*INDEX(Расчет!S$17:S$19,MATCH($D106&amp;"/RUB",$C$17:$C$19,0))),0)</f>
        <v>0</v>
      </c>
    </row>
    <row r="202" spans="1:19" s="2" customFormat="1" ht="16.5" x14ac:dyDescent="0.3">
      <c r="A202" s="238"/>
      <c r="B202" s="238"/>
      <c r="C202" s="200" t="s">
        <v>142</v>
      </c>
      <c r="D202" s="242" t="s">
        <v>12</v>
      </c>
      <c r="E202" s="237">
        <f t="shared" si="70"/>
        <v>0</v>
      </c>
      <c r="F202" s="243">
        <f t="shared" si="71"/>
        <v>0</v>
      </c>
      <c r="G202" s="251"/>
      <c r="H202" s="237">
        <f>IFERROR(IF($D107="RUB",$E107*H107*(1+H$29),$E107*H107*(1+INDEX(H$30:H$35,MATCH("Инфляция "&amp;$D107,$C$30:$C$35,0)+1))*INDEX(Расчет!H$17:H$19,MATCH($D107&amp;"/RUB",$C$17:$C$19,0))),0)</f>
        <v>0</v>
      </c>
      <c r="I202" s="237">
        <f>IFERROR(IF($D107="RUB",$E107*I107*(1+I$29),$E107*I107*(1+INDEX(I$30:I$35,MATCH("Инфляция "&amp;$D107,$C$30:$C$35,0)+1))*INDEX(Расчет!I$17:I$19,MATCH($D107&amp;"/RUB",$C$17:$C$19,0))),0)</f>
        <v>0</v>
      </c>
      <c r="J202" s="237">
        <f>IFERROR(IF($D107="RUB",$E107*J107*(1+J$29),$E107*J107*(1+INDEX(J$30:J$35,MATCH("Инфляция "&amp;$D107,$C$30:$C$35,0)+1))*INDEX(Расчет!J$17:J$19,MATCH($D107&amp;"/RUB",$C$17:$C$19,0))),0)</f>
        <v>0</v>
      </c>
      <c r="K202" s="237">
        <f>IFERROR(IF($D107="RUB",$E107*K107*(1+K$29),$E107*K107*(1+INDEX(K$30:K$35,MATCH("Инфляция "&amp;$D107,$C$30:$C$35,0)+1))*INDEX(Расчет!K$17:K$19,MATCH($D107&amp;"/RUB",$C$17:$C$19,0))),0)</f>
        <v>0</v>
      </c>
      <c r="L202" s="237">
        <f>IFERROR(IF($D107="RUB",$E107*L107*(1+L$29),$E107*L107*(1+INDEX(L$30:L$35,MATCH("Инфляция "&amp;$D107,$C$30:$C$35,0)+1))*INDEX(Расчет!L$17:L$19,MATCH($D107&amp;"/RUB",$C$17:$C$19,0))),0)</f>
        <v>0</v>
      </c>
      <c r="M202" s="237">
        <f>IFERROR(IF($D107="RUB",$E107*M107*(1+M$29),$E107*M107*(1+INDEX(M$30:M$35,MATCH("Инфляция "&amp;$D107,$C$30:$C$35,0)+1))*INDEX(Расчет!M$17:M$19,MATCH($D107&amp;"/RUB",$C$17:$C$19,0))),0)</f>
        <v>0</v>
      </c>
      <c r="N202" s="237">
        <f>IFERROR(IF($D107="RUB",$E107*N107*(1+N$29),$E107*N107*(1+INDEX(N$30:N$35,MATCH("Инфляция "&amp;$D107,$C$30:$C$35,0)+1))*INDEX(Расчет!N$17:N$19,MATCH($D107&amp;"/RUB",$C$17:$C$19,0))),0)</f>
        <v>0</v>
      </c>
      <c r="O202" s="237">
        <f>IFERROR(IF($D107="RUB",$E107*O107*(1+O$29),$E107*O107*(1+INDEX(O$30:O$35,MATCH("Инфляция "&amp;$D107,$C$30:$C$35,0)+1))*INDEX(Расчет!O$17:O$19,MATCH($D107&amp;"/RUB",$C$17:$C$19,0))),0)</f>
        <v>0</v>
      </c>
      <c r="P202" s="237">
        <f>IFERROR(IF($D107="RUB",$E107*P107*(1+P$29),$E107*P107*(1+INDEX(P$30:P$35,MATCH("Инфляция "&amp;$D107,$C$30:$C$35,0)+1))*INDEX(Расчет!P$17:P$19,MATCH($D107&amp;"/RUB",$C$17:$C$19,0))),0)</f>
        <v>0</v>
      </c>
      <c r="Q202" s="237">
        <f>IFERROR(IF($D107="RUB",$E107*Q107*(1+Q$29),$E107*Q107*(1+INDEX(Q$30:Q$35,MATCH("Инфляция "&amp;$D107,$C$30:$C$35,0)+1))*INDEX(Расчет!Q$17:Q$19,MATCH($D107&amp;"/RUB",$C$17:$C$19,0))),0)</f>
        <v>0</v>
      </c>
      <c r="R202" s="237">
        <f>IFERROR(IF($D107="RUB",$E107*R107*(1+R$29),$E107*R107*(1+INDEX(R$30:R$35,MATCH("Инфляция "&amp;$D107,$C$30:$C$35,0)+1))*INDEX(Расчет!R$17:R$19,MATCH($D107&amp;"/RUB",$C$17:$C$19,0))),0)</f>
        <v>0</v>
      </c>
      <c r="S202" s="237">
        <f>IFERROR(IF($D107="RUB",$E107*S107*(1+S$29),$E107*S107*(1+INDEX(S$30:S$35,MATCH("Инфляция "&amp;$D107,$C$30:$C$35,0)+1))*INDEX(Расчет!S$17:S$19,MATCH($D107&amp;"/RUB",$C$17:$C$19,0))),0)</f>
        <v>0</v>
      </c>
    </row>
    <row r="203" spans="1:19" s="2" customFormat="1" ht="16.5" x14ac:dyDescent="0.3">
      <c r="A203" s="238"/>
      <c r="B203" s="238"/>
      <c r="C203" s="200" t="s">
        <v>127</v>
      </c>
      <c r="D203" s="242" t="s">
        <v>12</v>
      </c>
      <c r="E203" s="237">
        <f t="shared" ca="1" si="70"/>
        <v>0</v>
      </c>
      <c r="F203" s="243">
        <f t="shared" si="71"/>
        <v>0</v>
      </c>
      <c r="G203" s="251"/>
      <c r="H203" s="237">
        <f ca="1">IFERROR(IF($D108="RUB",$E108*H108*(1+H$29),$E108*H108*(1+INDEX(H$30:H$35,MATCH("Инфляция "&amp;$D108,$C$30:$C$35,0)+1))*INDEX(Расчет!H$17:H$19,MATCH($D108&amp;"/RUB",$C$17:$C$19,0))),0)</f>
        <v>0</v>
      </c>
      <c r="I203" s="237">
        <f ca="1">IFERROR(IF($D108="RUB",$E108*I108*(1+I$29),$E108*I108*(1+INDEX(I$30:I$35,MATCH("Инфляция "&amp;$D108,$C$30:$C$35,0)+1))*INDEX(Расчет!I$17:I$19,MATCH($D108&amp;"/RUB",$C$17:$C$19,0))),0)</f>
        <v>0</v>
      </c>
      <c r="J203" s="237">
        <f ca="1">IFERROR(IF($D108="RUB",$E108*J108*(1+J$29),$E108*J108*(1+INDEX(J$30:J$35,MATCH("Инфляция "&amp;$D108,$C$30:$C$35,0)+1))*INDEX(Расчет!J$17:J$19,MATCH($D108&amp;"/RUB",$C$17:$C$19,0))),0)</f>
        <v>0</v>
      </c>
      <c r="K203" s="237">
        <f ca="1">IFERROR(IF($D108="RUB",$E108*K108*(1+K$29),$E108*K108*(1+INDEX(K$30:K$35,MATCH("Инфляция "&amp;$D108,$C$30:$C$35,0)+1))*INDEX(Расчет!K$17:K$19,MATCH($D108&amp;"/RUB",$C$17:$C$19,0))),0)</f>
        <v>0</v>
      </c>
      <c r="L203" s="237">
        <f ca="1">IFERROR(IF($D108="RUB",$E108*L108*(1+L$29),$E108*L108*(1+INDEX(L$30:L$35,MATCH("Инфляция "&amp;$D108,$C$30:$C$35,0)+1))*INDEX(Расчет!L$17:L$19,MATCH($D108&amp;"/RUB",$C$17:$C$19,0))),0)</f>
        <v>0</v>
      </c>
      <c r="M203" s="237">
        <f ca="1">IFERROR(IF($D108="RUB",$E108*M108*(1+M$29),$E108*M108*(1+INDEX(M$30:M$35,MATCH("Инфляция "&amp;$D108,$C$30:$C$35,0)+1))*INDEX(Расчет!M$17:M$19,MATCH($D108&amp;"/RUB",$C$17:$C$19,0))),0)</f>
        <v>0</v>
      </c>
      <c r="N203" s="237">
        <f ca="1">IFERROR(IF($D108="RUB",$E108*N108*(1+N$29),$E108*N108*(1+INDEX(N$30:N$35,MATCH("Инфляция "&amp;$D108,$C$30:$C$35,0)+1))*INDEX(Расчет!N$17:N$19,MATCH($D108&amp;"/RUB",$C$17:$C$19,0))),0)</f>
        <v>0</v>
      </c>
      <c r="O203" s="237">
        <f ca="1">IFERROR(IF($D108="RUB",$E108*O108*(1+O$29),$E108*O108*(1+INDEX(O$30:O$35,MATCH("Инфляция "&amp;$D108,$C$30:$C$35,0)+1))*INDEX(Расчет!O$17:O$19,MATCH($D108&amp;"/RUB",$C$17:$C$19,0))),0)</f>
        <v>0</v>
      </c>
      <c r="P203" s="237">
        <f ca="1">IFERROR(IF($D108="RUB",$E108*P108*(1+P$29),$E108*P108*(1+INDEX(P$30:P$35,MATCH("Инфляция "&amp;$D108,$C$30:$C$35,0)+1))*INDEX(Расчет!P$17:P$19,MATCH($D108&amp;"/RUB",$C$17:$C$19,0))),0)</f>
        <v>0</v>
      </c>
      <c r="Q203" s="237">
        <f ca="1">IFERROR(IF($D108="RUB",$E108*Q108*(1+Q$29),$E108*Q108*(1+INDEX(Q$30:Q$35,MATCH("Инфляция "&amp;$D108,$C$30:$C$35,0)+1))*INDEX(Расчет!Q$17:Q$19,MATCH($D108&amp;"/RUB",$C$17:$C$19,0))),0)</f>
        <v>0</v>
      </c>
      <c r="R203" s="237">
        <f ca="1">IFERROR(IF($D108="RUB",$E108*R108*(1+R$29),$E108*R108*(1+INDEX(R$30:R$35,MATCH("Инфляция "&amp;$D108,$C$30:$C$35,0)+1))*INDEX(Расчет!R$17:R$19,MATCH($D108&amp;"/RUB",$C$17:$C$19,0))),0)</f>
        <v>0</v>
      </c>
      <c r="S203" s="237">
        <f ca="1">IFERROR(IF($D108="RUB",$E108*S108*(1+S$29),$E108*S108*(1+INDEX(S$30:S$35,MATCH("Инфляция "&amp;$D108,$C$30:$C$35,0)+1))*INDEX(Расчет!S$17:S$19,MATCH($D108&amp;"/RUB",$C$17:$C$19,0))),0)</f>
        <v>0</v>
      </c>
    </row>
    <row r="204" spans="1:19" s="2" customFormat="1" ht="16.5" x14ac:dyDescent="0.3">
      <c r="A204" s="238"/>
      <c r="B204" s="238"/>
      <c r="C204" s="200" t="s">
        <v>127</v>
      </c>
      <c r="D204" s="242" t="s">
        <v>12</v>
      </c>
      <c r="E204" s="237">
        <f t="shared" si="70"/>
        <v>0</v>
      </c>
      <c r="F204" s="243">
        <f t="shared" si="71"/>
        <v>0</v>
      </c>
      <c r="G204" s="251"/>
      <c r="H204" s="237">
        <f>IFERROR(IF($D109="RUB",$E109*H109*(1+H$29),$E109*H109*(1+INDEX(H$30:H$35,MATCH("Инфляция "&amp;$D109,$C$30:$C$35,0)+1))*INDEX(Расчет!H$17:H$19,MATCH($D109&amp;"/RUB",$C$17:$C$19,0))),0)</f>
        <v>0</v>
      </c>
      <c r="I204" s="237">
        <f>IFERROR(IF($D109="RUB",$E109*I109*(1+I$29),$E109*I109*(1+INDEX(I$30:I$35,MATCH("Инфляция "&amp;$D109,$C$30:$C$35,0)+1))*INDEX(Расчет!I$17:I$19,MATCH($D109&amp;"/RUB",$C$17:$C$19,0))),0)</f>
        <v>0</v>
      </c>
      <c r="J204" s="237">
        <f>IFERROR(IF($D109="RUB",$E109*J109*(1+J$29),$E109*J109*(1+INDEX(J$30:J$35,MATCH("Инфляция "&amp;$D109,$C$30:$C$35,0)+1))*INDEX(Расчет!J$17:J$19,MATCH($D109&amp;"/RUB",$C$17:$C$19,0))),0)</f>
        <v>0</v>
      </c>
      <c r="K204" s="237">
        <f>IFERROR(IF($D109="RUB",$E109*K109*(1+K$29),$E109*K109*(1+INDEX(K$30:K$35,MATCH("Инфляция "&amp;$D109,$C$30:$C$35,0)+1))*INDEX(Расчет!K$17:K$19,MATCH($D109&amp;"/RUB",$C$17:$C$19,0))),0)</f>
        <v>0</v>
      </c>
      <c r="L204" s="237">
        <f>IFERROR(IF($D109="RUB",$E109*L109*(1+L$29),$E109*L109*(1+INDEX(L$30:L$35,MATCH("Инфляция "&amp;$D109,$C$30:$C$35,0)+1))*INDEX(Расчет!L$17:L$19,MATCH($D109&amp;"/RUB",$C$17:$C$19,0))),0)</f>
        <v>0</v>
      </c>
      <c r="M204" s="237">
        <f>IFERROR(IF($D109="RUB",$E109*M109*(1+M$29),$E109*M109*(1+INDEX(M$30:M$35,MATCH("Инфляция "&amp;$D109,$C$30:$C$35,0)+1))*INDEX(Расчет!M$17:M$19,MATCH($D109&amp;"/RUB",$C$17:$C$19,0))),0)</f>
        <v>0</v>
      </c>
      <c r="N204" s="237">
        <f>IFERROR(IF($D109="RUB",$E109*N109*(1+N$29),$E109*N109*(1+INDEX(N$30:N$35,MATCH("Инфляция "&amp;$D109,$C$30:$C$35,0)+1))*INDEX(Расчет!N$17:N$19,MATCH($D109&amp;"/RUB",$C$17:$C$19,0))),0)</f>
        <v>0</v>
      </c>
      <c r="O204" s="237">
        <f>IFERROR(IF($D109="RUB",$E109*O109*(1+O$29),$E109*O109*(1+INDEX(O$30:O$35,MATCH("Инфляция "&amp;$D109,$C$30:$C$35,0)+1))*INDEX(Расчет!O$17:O$19,MATCH($D109&amp;"/RUB",$C$17:$C$19,0))),0)</f>
        <v>0</v>
      </c>
      <c r="P204" s="237">
        <f>IFERROR(IF($D109="RUB",$E109*P109*(1+P$29),$E109*P109*(1+INDEX(P$30:P$35,MATCH("Инфляция "&amp;$D109,$C$30:$C$35,0)+1))*INDEX(Расчет!P$17:P$19,MATCH($D109&amp;"/RUB",$C$17:$C$19,0))),0)</f>
        <v>0</v>
      </c>
      <c r="Q204" s="237">
        <f>IFERROR(IF($D109="RUB",$E109*Q109*(1+Q$29),$E109*Q109*(1+INDEX(Q$30:Q$35,MATCH("Инфляция "&amp;$D109,$C$30:$C$35,0)+1))*INDEX(Расчет!Q$17:Q$19,MATCH($D109&amp;"/RUB",$C$17:$C$19,0))),0)</f>
        <v>0</v>
      </c>
      <c r="R204" s="237">
        <f>IFERROR(IF($D109="RUB",$E109*R109*(1+R$29),$E109*R109*(1+INDEX(R$30:R$35,MATCH("Инфляция "&amp;$D109,$C$30:$C$35,0)+1))*INDEX(Расчет!R$17:R$19,MATCH($D109&amp;"/RUB",$C$17:$C$19,0))),0)</f>
        <v>0</v>
      </c>
      <c r="S204" s="237">
        <f>IFERROR(IF($D109="RUB",$E109*S109*(1+S$29),$E109*S109*(1+INDEX(S$30:S$35,MATCH("Инфляция "&amp;$D109,$C$30:$C$35,0)+1))*INDEX(Расчет!S$17:S$19,MATCH($D109&amp;"/RUB",$C$17:$C$19,0))),0)</f>
        <v>0</v>
      </c>
    </row>
    <row r="205" spans="1:19" s="2" customFormat="1" ht="16.5" x14ac:dyDescent="0.3">
      <c r="A205" s="238"/>
      <c r="B205" s="238"/>
      <c r="C205" s="200" t="s">
        <v>127</v>
      </c>
      <c r="D205" s="242" t="s">
        <v>12</v>
      </c>
      <c r="E205" s="237">
        <f t="shared" si="70"/>
        <v>222079.22865050531</v>
      </c>
      <c r="F205" s="243">
        <f t="shared" si="71"/>
        <v>0</v>
      </c>
      <c r="G205" s="251"/>
      <c r="H205" s="237">
        <f>IFERROR(IF($D110="RUB",$E110*H110*(1+H$29),$E110*H110*(1+INDEX(H$30:H$35,MATCH("Инфляция "&amp;$D110,$C$30:$C$35,0)+1))*INDEX(Расчет!H$17:H$19,MATCH($D110&amp;"/RUB",$C$17:$C$19,0))),0)</f>
        <v>0</v>
      </c>
      <c r="I205" s="237">
        <f>IFERROR(IF($D110="RUB",$E110*I110*(1+I$29),$E110*I110*(1+INDEX(I$30:I$35,MATCH("Инфляция "&amp;$D110,$C$30:$C$35,0)+1))*INDEX(Расчет!I$17:I$19,MATCH($D110&amp;"/RUB",$C$17:$C$19,0))),0)</f>
        <v>0</v>
      </c>
      <c r="J205" s="237">
        <f>IFERROR(IF($D110="RUB",$E110*J110*(1+J$29),$E110*J110*(1+INDEX(J$30:J$35,MATCH("Инфляция "&amp;$D110,$C$30:$C$35,0)+1))*INDEX(Расчет!J$17:J$19,MATCH($D110&amp;"/RUB",$C$17:$C$19,0))),0)</f>
        <v>0</v>
      </c>
      <c r="K205" s="237">
        <f>IFERROR(IF($D110="RUB",$E110*K110*(1+K$29),$E110*K110*(1+INDEX(K$30:K$35,MATCH("Инфляция "&amp;$D110,$C$30:$C$35,0)+1))*INDEX(Расчет!K$17:K$19,MATCH($D110&amp;"/RUB",$C$17:$C$19,0))),0)</f>
        <v>0</v>
      </c>
      <c r="L205" s="237">
        <f>IFERROR(IF($D110="RUB",$E110*L110*(1+L$29),$E110*L110*(1+INDEX(L$30:L$35,MATCH("Инфляция "&amp;$D110,$C$30:$C$35,0)+1))*INDEX(Расчет!L$17:L$19,MATCH($D110&amp;"/RUB",$C$17:$C$19,0))),0)</f>
        <v>199838.3008653431</v>
      </c>
      <c r="M205" s="237">
        <f>IFERROR(IF($D110="RUB",$E110*M110*(1+M$29),$E110*M110*(1+INDEX(M$30:M$35,MATCH("Инфляция "&amp;$D110,$C$30:$C$35,0)+1))*INDEX(Расчет!M$17:M$19,MATCH($D110&amp;"/RUB",$C$17:$C$19,0))),0)</f>
        <v>22240.927785162203</v>
      </c>
      <c r="N205" s="237">
        <f>IFERROR(IF($D110="RUB",$E110*N110*(1+N$29),$E110*N110*(1+INDEX(N$30:N$35,MATCH("Инфляция "&amp;$D110,$C$30:$C$35,0)+1))*INDEX(Расчет!N$17:N$19,MATCH($D110&amp;"/RUB",$C$17:$C$19,0))),0)</f>
        <v>0</v>
      </c>
      <c r="O205" s="237">
        <f>IFERROR(IF($D110="RUB",$E110*O110*(1+O$29),$E110*O110*(1+INDEX(O$30:O$35,MATCH("Инфляция "&amp;$D110,$C$30:$C$35,0)+1))*INDEX(Расчет!O$17:O$19,MATCH($D110&amp;"/RUB",$C$17:$C$19,0))),0)</f>
        <v>0</v>
      </c>
      <c r="P205" s="237">
        <f>IFERROR(IF($D110="RUB",$E110*P110*(1+P$29),$E110*P110*(1+INDEX(P$30:P$35,MATCH("Инфляция "&amp;$D110,$C$30:$C$35,0)+1))*INDEX(Расчет!P$17:P$19,MATCH($D110&amp;"/RUB",$C$17:$C$19,0))),0)</f>
        <v>0</v>
      </c>
      <c r="Q205" s="237">
        <f>IFERROR(IF($D110="RUB",$E110*Q110*(1+Q$29),$E110*Q110*(1+INDEX(Q$30:Q$35,MATCH("Инфляция "&amp;$D110,$C$30:$C$35,0)+1))*INDEX(Расчет!Q$17:Q$19,MATCH($D110&amp;"/RUB",$C$17:$C$19,0))),0)</f>
        <v>0</v>
      </c>
      <c r="R205" s="237">
        <f>IFERROR(IF($D110="RUB",$E110*R110*(1+R$29),$E110*R110*(1+INDEX(R$30:R$35,MATCH("Инфляция "&amp;$D110,$C$30:$C$35,0)+1))*INDEX(Расчет!R$17:R$19,MATCH($D110&amp;"/RUB",$C$17:$C$19,0))),0)</f>
        <v>0</v>
      </c>
      <c r="S205" s="237">
        <f>IFERROR(IF($D110="RUB",$E110*S110*(1+S$29),$E110*S110*(1+INDEX(S$30:S$35,MATCH("Инфляция "&amp;$D110,$C$30:$C$35,0)+1))*INDEX(Расчет!S$17:S$19,MATCH($D110&amp;"/RUB",$C$17:$C$19,0))),0)</f>
        <v>0</v>
      </c>
    </row>
    <row r="206" spans="1:19" s="2" customFormat="1" ht="16.5" x14ac:dyDescent="0.3">
      <c r="A206" s="238"/>
      <c r="B206" s="238"/>
      <c r="C206" s="200" t="s">
        <v>127</v>
      </c>
      <c r="D206" s="242" t="s">
        <v>12</v>
      </c>
      <c r="E206" s="237">
        <f t="shared" si="70"/>
        <v>0</v>
      </c>
      <c r="F206" s="243">
        <f t="shared" si="71"/>
        <v>0</v>
      </c>
      <c r="G206" s="251"/>
      <c r="H206" s="237">
        <f>IFERROR(IF($D111="RUB",$E111*H111*(1+H$29),$E111*H111*(1+INDEX(H$30:H$35,MATCH("Инфляция "&amp;$D111,$C$30:$C$35,0)+1))*INDEX(Расчет!H$17:H$19,MATCH($D111&amp;"/RUB",$C$17:$C$19,0))),0)</f>
        <v>0</v>
      </c>
      <c r="I206" s="237">
        <f>IFERROR(IF($D111="RUB",$E111*I111*(1+I$29),$E111*I111*(1+INDEX(I$30:I$35,MATCH("Инфляция "&amp;$D111,$C$30:$C$35,0)+1))*INDEX(Расчет!I$17:I$19,MATCH($D111&amp;"/RUB",$C$17:$C$19,0))),0)</f>
        <v>0</v>
      </c>
      <c r="J206" s="237">
        <f>IFERROR(IF($D111="RUB",$E111*J111*(1+J$29),$E111*J111*(1+INDEX(J$30:J$35,MATCH("Инфляция "&amp;$D111,$C$30:$C$35,0)+1))*INDEX(Расчет!J$17:J$19,MATCH($D111&amp;"/RUB",$C$17:$C$19,0))),0)</f>
        <v>0</v>
      </c>
      <c r="K206" s="237">
        <f>IFERROR(IF($D111="RUB",$E111*K111*(1+K$29),$E111*K111*(1+INDEX(K$30:K$35,MATCH("Инфляция "&amp;$D111,$C$30:$C$35,0)+1))*INDEX(Расчет!K$17:K$19,MATCH($D111&amp;"/RUB",$C$17:$C$19,0))),0)</f>
        <v>0</v>
      </c>
      <c r="L206" s="237">
        <f>IFERROR(IF($D111="RUB",$E111*L111*(1+L$29),$E111*L111*(1+INDEX(L$30:L$35,MATCH("Инфляция "&amp;$D111,$C$30:$C$35,0)+1))*INDEX(Расчет!L$17:L$19,MATCH($D111&amp;"/RUB",$C$17:$C$19,0))),0)</f>
        <v>0</v>
      </c>
      <c r="M206" s="237">
        <f>IFERROR(IF($D111="RUB",$E111*M111*(1+M$29),$E111*M111*(1+INDEX(M$30:M$35,MATCH("Инфляция "&amp;$D111,$C$30:$C$35,0)+1))*INDEX(Расчет!M$17:M$19,MATCH($D111&amp;"/RUB",$C$17:$C$19,0))),0)</f>
        <v>0</v>
      </c>
      <c r="N206" s="237">
        <f>IFERROR(IF($D111="RUB",$E111*N111*(1+N$29),$E111*N111*(1+INDEX(N$30:N$35,MATCH("Инфляция "&amp;$D111,$C$30:$C$35,0)+1))*INDEX(Расчет!N$17:N$19,MATCH($D111&amp;"/RUB",$C$17:$C$19,0))),0)</f>
        <v>0</v>
      </c>
      <c r="O206" s="237">
        <f>IFERROR(IF($D111="RUB",$E111*O111*(1+O$29),$E111*O111*(1+INDEX(O$30:O$35,MATCH("Инфляция "&amp;$D111,$C$30:$C$35,0)+1))*INDEX(Расчет!O$17:O$19,MATCH($D111&amp;"/RUB",$C$17:$C$19,0))),0)</f>
        <v>0</v>
      </c>
      <c r="P206" s="237">
        <f>IFERROR(IF($D111="RUB",$E111*P111*(1+P$29),$E111*P111*(1+INDEX(P$30:P$35,MATCH("Инфляция "&amp;$D111,$C$30:$C$35,0)+1))*INDEX(Расчет!P$17:P$19,MATCH($D111&amp;"/RUB",$C$17:$C$19,0))),0)</f>
        <v>0</v>
      </c>
      <c r="Q206" s="237">
        <f>IFERROR(IF($D111="RUB",$E111*Q111*(1+Q$29),$E111*Q111*(1+INDEX(Q$30:Q$35,MATCH("Инфляция "&amp;$D111,$C$30:$C$35,0)+1))*INDEX(Расчет!Q$17:Q$19,MATCH($D111&amp;"/RUB",$C$17:$C$19,0))),0)</f>
        <v>0</v>
      </c>
      <c r="R206" s="237">
        <f>IFERROR(IF($D111="RUB",$E111*R111*(1+R$29),$E111*R111*(1+INDEX(R$30:R$35,MATCH("Инфляция "&amp;$D111,$C$30:$C$35,0)+1))*INDEX(Расчет!R$17:R$19,MATCH($D111&amp;"/RUB",$C$17:$C$19,0))),0)</f>
        <v>0</v>
      </c>
      <c r="S206" s="237">
        <f>IFERROR(IF($D111="RUB",$E111*S111*(1+S$29),$E111*S111*(1+INDEX(S$30:S$35,MATCH("Инфляция "&amp;$D111,$C$30:$C$35,0)+1))*INDEX(Расчет!S$17:S$19,MATCH($D111&amp;"/RUB",$C$17:$C$19,0))),0)</f>
        <v>0</v>
      </c>
    </row>
    <row r="207" spans="1:19" s="2" customFormat="1" ht="16.5" x14ac:dyDescent="0.3">
      <c r="A207" s="238"/>
      <c r="B207" s="238"/>
      <c r="C207" s="200" t="s">
        <v>24</v>
      </c>
      <c r="D207" s="242" t="s">
        <v>12</v>
      </c>
      <c r="E207" s="237">
        <f t="shared" ca="1" si="70"/>
        <v>0</v>
      </c>
      <c r="F207" s="243">
        <f t="shared" si="71"/>
        <v>0</v>
      </c>
      <c r="G207" s="251"/>
      <c r="H207" s="237">
        <f ca="1">IFERROR(IF($D112="RUB",$E112*H112*(1+H$29),$E112*H112*(1+INDEX(H$30:H$35,MATCH("Инфляция "&amp;$D112,$C$30:$C$35,0)+1))*INDEX(Расчет!H$17:H$19,MATCH($D112&amp;"/RUB",$C$17:$C$19,0))),0)</f>
        <v>0</v>
      </c>
      <c r="I207" s="237">
        <f ca="1">IFERROR(IF($D112="RUB",$E112*I112*(1+I$29),$E112*I112*(1+INDEX(I$30:I$35,MATCH("Инфляция "&amp;$D112,$C$30:$C$35,0)+1))*INDEX(Расчет!I$17:I$19,MATCH($D112&amp;"/RUB",$C$17:$C$19,0))),0)</f>
        <v>0</v>
      </c>
      <c r="J207" s="237">
        <f ca="1">IFERROR(IF($D112="RUB",$E112*J112*(1+J$29),$E112*J112*(1+INDEX(J$30:J$35,MATCH("Инфляция "&amp;$D112,$C$30:$C$35,0)+1))*INDEX(Расчет!J$17:J$19,MATCH($D112&amp;"/RUB",$C$17:$C$19,0))),0)</f>
        <v>0</v>
      </c>
      <c r="K207" s="237">
        <f ca="1">IFERROR(IF($D112="RUB",$E112*K112*(1+K$29),$E112*K112*(1+INDEX(K$30:K$35,MATCH("Инфляция "&amp;$D112,$C$30:$C$35,0)+1))*INDEX(Расчет!K$17:K$19,MATCH($D112&amp;"/RUB",$C$17:$C$19,0))),0)</f>
        <v>0</v>
      </c>
      <c r="L207" s="237">
        <f ca="1">IFERROR(IF($D112="RUB",$E112*L112*(1+L$29),$E112*L112*(1+INDEX(L$30:L$35,MATCH("Инфляция "&amp;$D112,$C$30:$C$35,0)+1))*INDEX(Расчет!L$17:L$19,MATCH($D112&amp;"/RUB",$C$17:$C$19,0))),0)</f>
        <v>0</v>
      </c>
      <c r="M207" s="237">
        <f ca="1">IFERROR(IF($D112="RUB",$E112*M112*(1+M$29),$E112*M112*(1+INDEX(M$30:M$35,MATCH("Инфляция "&amp;$D112,$C$30:$C$35,0)+1))*INDEX(Расчет!M$17:M$19,MATCH($D112&amp;"/RUB",$C$17:$C$19,0))),0)</f>
        <v>0</v>
      </c>
      <c r="N207" s="237">
        <f ca="1">IFERROR(IF($D112="RUB",$E112*N112*(1+N$29),$E112*N112*(1+INDEX(N$30:N$35,MATCH("Инфляция "&amp;$D112,$C$30:$C$35,0)+1))*INDEX(Расчет!N$17:N$19,MATCH($D112&amp;"/RUB",$C$17:$C$19,0))),0)</f>
        <v>0</v>
      </c>
      <c r="O207" s="237">
        <f ca="1">IFERROR(IF($D112="RUB",$E112*O112*(1+O$29),$E112*O112*(1+INDEX(O$30:O$35,MATCH("Инфляция "&amp;$D112,$C$30:$C$35,0)+1))*INDEX(Расчет!O$17:O$19,MATCH($D112&amp;"/RUB",$C$17:$C$19,0))),0)</f>
        <v>0</v>
      </c>
      <c r="P207" s="237">
        <f ca="1">IFERROR(IF($D112="RUB",$E112*P112*(1+P$29),$E112*P112*(1+INDEX(P$30:P$35,MATCH("Инфляция "&amp;$D112,$C$30:$C$35,0)+1))*INDEX(Расчет!P$17:P$19,MATCH($D112&amp;"/RUB",$C$17:$C$19,0))),0)</f>
        <v>0</v>
      </c>
      <c r="Q207" s="237">
        <f ca="1">IFERROR(IF($D112="RUB",$E112*Q112*(1+Q$29),$E112*Q112*(1+INDEX(Q$30:Q$35,MATCH("Инфляция "&amp;$D112,$C$30:$C$35,0)+1))*INDEX(Расчет!Q$17:Q$19,MATCH($D112&amp;"/RUB",$C$17:$C$19,0))),0)</f>
        <v>0</v>
      </c>
      <c r="R207" s="237">
        <f ca="1">IFERROR(IF($D112="RUB",$E112*R112*(1+R$29),$E112*R112*(1+INDEX(R$30:R$35,MATCH("Инфляция "&amp;$D112,$C$30:$C$35,0)+1))*INDEX(Расчет!R$17:R$19,MATCH($D112&amp;"/RUB",$C$17:$C$19,0))),0)</f>
        <v>0</v>
      </c>
      <c r="S207" s="237">
        <f ca="1">IFERROR(IF($D112="RUB",$E112*S112*(1+S$29),$E112*S112*(1+INDEX(S$30:S$35,MATCH("Инфляция "&amp;$D112,$C$30:$C$35,0)+1))*INDEX(Расчет!S$17:S$19,MATCH($D112&amp;"/RUB",$C$17:$C$19,0))),0)</f>
        <v>0</v>
      </c>
    </row>
    <row r="208" spans="1:19" s="2" customFormat="1" ht="16.5" x14ac:dyDescent="0.3">
      <c r="A208" s="238"/>
      <c r="B208" s="238"/>
      <c r="C208" s="200" t="s">
        <v>24</v>
      </c>
      <c r="D208" s="242" t="s">
        <v>12</v>
      </c>
      <c r="E208" s="237">
        <f t="shared" si="70"/>
        <v>24144.581164053714</v>
      </c>
      <c r="F208" s="243">
        <f t="shared" si="71"/>
        <v>0</v>
      </c>
      <c r="G208" s="251"/>
      <c r="H208" s="237">
        <f>IFERROR(IF($D113="RUB",$E113*H113*(1+H$29),$E113*H113*(1+INDEX(H$30:H$35,MATCH("Инфляция "&amp;$D113,$C$30:$C$35,0)+1))*INDEX(Расчет!H$17:H$19,MATCH($D113&amp;"/RUB",$C$17:$C$19,0))),0)</f>
        <v>3432.1734526393343</v>
      </c>
      <c r="I208" s="237">
        <f>IFERROR(IF($D113="RUB",$E113*I113*(1+I$29),$E113*I113*(1+INDEX(I$30:I$35,MATCH("Инфляция "&amp;$D113,$C$30:$C$35,0)+1))*INDEX(Расчет!I$17:I$19,MATCH($D113&amp;"/RUB",$C$17:$C$19,0))),0)</f>
        <v>3437.8419661386597</v>
      </c>
      <c r="J208" s="237">
        <f>IFERROR(IF($D113="RUB",$E113*J113*(1+J$29),$E113*J113*(1+INDEX(J$30:J$35,MATCH("Инфляция "&amp;$D113,$C$30:$C$35,0)+1))*INDEX(Расчет!J$17:J$19,MATCH($D113&amp;"/RUB",$C$17:$C$19,0))),0)</f>
        <v>3443.5198416488915</v>
      </c>
      <c r="K208" s="237">
        <f>IFERROR(IF($D113="RUB",$E113*K113*(1+K$29),$E113*K113*(1+INDEX(K$30:K$35,MATCH("Инфляция "&amp;$D113,$C$30:$C$35,0)+1))*INDEX(Расчет!K$17:K$19,MATCH($D113&amp;"/RUB",$C$17:$C$19,0))),0)</f>
        <v>3449.2070946321501</v>
      </c>
      <c r="L208" s="237">
        <f>IFERROR(IF($D113="RUB",$E113*L113*(1+L$29),$E113*L113*(1+INDEX(L$30:L$35,MATCH("Инфляция "&amp;$D113,$C$30:$C$35,0)+1))*INDEX(Расчет!L$17:L$19,MATCH($D113&amp;"/RUB",$C$17:$C$19,0))),0)</f>
        <v>3454.9037405760951</v>
      </c>
      <c r="M208" s="237">
        <f>IFERROR(IF($D113="RUB",$E113*M113*(1+M$29),$E113*M113*(1+INDEX(M$30:M$35,MATCH("Инфляция "&amp;$D113,$C$30:$C$35,0)+1))*INDEX(Расчет!M$17:M$19,MATCH($D113&amp;"/RUB",$C$17:$C$19,0))),0)</f>
        <v>3460.6097949939654</v>
      </c>
      <c r="N208" s="237">
        <f>IFERROR(IF($D113="RUB",$E113*N113*(1+N$29),$E113*N113*(1+INDEX(N$30:N$35,MATCH("Инфляция "&amp;$D113,$C$30:$C$35,0)+1))*INDEX(Расчет!N$17:N$19,MATCH($D113&amp;"/RUB",$C$17:$C$19,0))),0)</f>
        <v>3466.3252734246189</v>
      </c>
      <c r="O208" s="237">
        <f>IFERROR(IF($D113="RUB",$E113*O113*(1+O$29),$E113*O113*(1+INDEX(O$30:O$35,MATCH("Инфляция "&amp;$D113,$C$30:$C$35,0)+1))*INDEX(Расчет!O$17:O$19,MATCH($D113&amp;"/RUB",$C$17:$C$19,0))),0)</f>
        <v>0</v>
      </c>
      <c r="P208" s="237">
        <f>IFERROR(IF($D113="RUB",$E113*P113*(1+P$29),$E113*P113*(1+INDEX(P$30:P$35,MATCH("Инфляция "&amp;$D113,$C$30:$C$35,0)+1))*INDEX(Расчет!P$17:P$19,MATCH($D113&amp;"/RUB",$C$17:$C$19,0))),0)</f>
        <v>0</v>
      </c>
      <c r="Q208" s="237">
        <f>IFERROR(IF($D113="RUB",$E113*Q113*(1+Q$29),$E113*Q113*(1+INDEX(Q$30:Q$35,MATCH("Инфляция "&amp;$D113,$C$30:$C$35,0)+1))*INDEX(Расчет!Q$17:Q$19,MATCH($D113&amp;"/RUB",$C$17:$C$19,0))),0)</f>
        <v>0</v>
      </c>
      <c r="R208" s="237">
        <f>IFERROR(IF($D113="RUB",$E113*R113*(1+R$29),$E113*R113*(1+INDEX(R$30:R$35,MATCH("Инфляция "&amp;$D113,$C$30:$C$35,0)+1))*INDEX(Расчет!R$17:R$19,MATCH($D113&amp;"/RUB",$C$17:$C$19,0))),0)</f>
        <v>0</v>
      </c>
      <c r="S208" s="237">
        <f>IFERROR(IF($D113="RUB",$E113*S113*(1+S$29),$E113*S113*(1+INDEX(S$30:S$35,MATCH("Инфляция "&amp;$D113,$C$30:$C$35,0)+1))*INDEX(Расчет!S$17:S$19,MATCH($D113&amp;"/RUB",$C$17:$C$19,0))),0)</f>
        <v>0</v>
      </c>
    </row>
    <row r="209" spans="1:19" s="2" customFormat="1" ht="16.5" x14ac:dyDescent="0.3">
      <c r="A209" s="238"/>
      <c r="B209" s="238"/>
      <c r="C209" s="200" t="s">
        <v>24</v>
      </c>
      <c r="D209" s="242" t="s">
        <v>12</v>
      </c>
      <c r="E209" s="237">
        <f t="shared" si="70"/>
        <v>0</v>
      </c>
      <c r="F209" s="243">
        <f t="shared" si="71"/>
        <v>0</v>
      </c>
      <c r="G209" s="251"/>
      <c r="H209" s="237">
        <f>IFERROR(IF($D114="RUB",$E114*H114*(1+H$29),$E114*H114*(1+INDEX(H$30:H$35,MATCH("Инфляция "&amp;$D114,$C$30:$C$35,0)+1))*INDEX(Расчет!H$17:H$19,MATCH($D114&amp;"/RUB",$C$17:$C$19,0))),0)</f>
        <v>0</v>
      </c>
      <c r="I209" s="237">
        <f>IFERROR(IF($D114="RUB",$E114*I114*(1+I$29),$E114*I114*(1+INDEX(I$30:I$35,MATCH("Инфляция "&amp;$D114,$C$30:$C$35,0)+1))*INDEX(Расчет!I$17:I$19,MATCH($D114&amp;"/RUB",$C$17:$C$19,0))),0)</f>
        <v>0</v>
      </c>
      <c r="J209" s="237">
        <f>IFERROR(IF($D114="RUB",$E114*J114*(1+J$29),$E114*J114*(1+INDEX(J$30:J$35,MATCH("Инфляция "&amp;$D114,$C$30:$C$35,0)+1))*INDEX(Расчет!J$17:J$19,MATCH($D114&amp;"/RUB",$C$17:$C$19,0))),0)</f>
        <v>0</v>
      </c>
      <c r="K209" s="237">
        <f>IFERROR(IF($D114="RUB",$E114*K114*(1+K$29),$E114*K114*(1+INDEX(K$30:K$35,MATCH("Инфляция "&amp;$D114,$C$30:$C$35,0)+1))*INDEX(Расчет!K$17:K$19,MATCH($D114&amp;"/RUB",$C$17:$C$19,0))),0)</f>
        <v>0</v>
      </c>
      <c r="L209" s="237">
        <f>IFERROR(IF($D114="RUB",$E114*L114*(1+L$29),$E114*L114*(1+INDEX(L$30:L$35,MATCH("Инфляция "&amp;$D114,$C$30:$C$35,0)+1))*INDEX(Расчет!L$17:L$19,MATCH($D114&amp;"/RUB",$C$17:$C$19,0))),0)</f>
        <v>0</v>
      </c>
      <c r="M209" s="237">
        <f>IFERROR(IF($D114="RUB",$E114*M114*(1+M$29),$E114*M114*(1+INDEX(M$30:M$35,MATCH("Инфляция "&amp;$D114,$C$30:$C$35,0)+1))*INDEX(Расчет!M$17:M$19,MATCH($D114&amp;"/RUB",$C$17:$C$19,0))),0)</f>
        <v>0</v>
      </c>
      <c r="N209" s="237">
        <f>IFERROR(IF($D114="RUB",$E114*N114*(1+N$29),$E114*N114*(1+INDEX(N$30:N$35,MATCH("Инфляция "&amp;$D114,$C$30:$C$35,0)+1))*INDEX(Расчет!N$17:N$19,MATCH($D114&amp;"/RUB",$C$17:$C$19,0))),0)</f>
        <v>0</v>
      </c>
      <c r="O209" s="237">
        <f>IFERROR(IF($D114="RUB",$E114*O114*(1+O$29),$E114*O114*(1+INDEX(O$30:O$35,MATCH("Инфляция "&amp;$D114,$C$30:$C$35,0)+1))*INDEX(Расчет!O$17:O$19,MATCH($D114&amp;"/RUB",$C$17:$C$19,0))),0)</f>
        <v>0</v>
      </c>
      <c r="P209" s="237">
        <f>IFERROR(IF($D114="RUB",$E114*P114*(1+P$29),$E114*P114*(1+INDEX(P$30:P$35,MATCH("Инфляция "&amp;$D114,$C$30:$C$35,0)+1))*INDEX(Расчет!P$17:P$19,MATCH($D114&amp;"/RUB",$C$17:$C$19,0))),0)</f>
        <v>0</v>
      </c>
      <c r="Q209" s="237">
        <f>IFERROR(IF($D114="RUB",$E114*Q114*(1+Q$29),$E114*Q114*(1+INDEX(Q$30:Q$35,MATCH("Инфляция "&amp;$D114,$C$30:$C$35,0)+1))*INDEX(Расчет!Q$17:Q$19,MATCH($D114&amp;"/RUB",$C$17:$C$19,0))),0)</f>
        <v>0</v>
      </c>
      <c r="R209" s="237">
        <f>IFERROR(IF($D114="RUB",$E114*R114*(1+R$29),$E114*R114*(1+INDEX(R$30:R$35,MATCH("Инфляция "&amp;$D114,$C$30:$C$35,0)+1))*INDEX(Расчет!R$17:R$19,MATCH($D114&amp;"/RUB",$C$17:$C$19,0))),0)</f>
        <v>0</v>
      </c>
      <c r="S209" s="237">
        <f>IFERROR(IF($D114="RUB",$E114*S114*(1+S$29),$E114*S114*(1+INDEX(S$30:S$35,MATCH("Инфляция "&amp;$D114,$C$30:$C$35,0)+1))*INDEX(Расчет!S$17:S$19,MATCH($D114&amp;"/RUB",$C$17:$C$19,0))),0)</f>
        <v>0</v>
      </c>
    </row>
    <row r="210" spans="1:19" s="2" customFormat="1" ht="16.5" x14ac:dyDescent="0.3">
      <c r="A210" s="238"/>
      <c r="B210" s="238"/>
      <c r="C210" s="200" t="s">
        <v>24</v>
      </c>
      <c r="D210" s="242" t="s">
        <v>12</v>
      </c>
      <c r="E210" s="237">
        <f t="shared" si="70"/>
        <v>0</v>
      </c>
      <c r="F210" s="243">
        <f t="shared" si="71"/>
        <v>0</v>
      </c>
      <c r="G210" s="251"/>
      <c r="H210" s="237">
        <f>IFERROR(IF($D115="RUB",$E115*H115*(1+H$29),$E115*H115*(1+INDEX(H$30:H$35,MATCH("Инфляция "&amp;$D115,$C$30:$C$35,0)+1))*INDEX(Расчет!H$17:H$19,MATCH($D115&amp;"/RUB",$C$17:$C$19,0))),0)</f>
        <v>0</v>
      </c>
      <c r="I210" s="237">
        <f>IFERROR(IF($D115="RUB",$E115*I115*(1+I$29),$E115*I115*(1+INDEX(I$30:I$35,MATCH("Инфляция "&amp;$D115,$C$30:$C$35,0)+1))*INDEX(Расчет!I$17:I$19,MATCH($D115&amp;"/RUB",$C$17:$C$19,0))),0)</f>
        <v>0</v>
      </c>
      <c r="J210" s="237">
        <f>IFERROR(IF($D115="RUB",$E115*J115*(1+J$29),$E115*J115*(1+INDEX(J$30:J$35,MATCH("Инфляция "&amp;$D115,$C$30:$C$35,0)+1))*INDEX(Расчет!J$17:J$19,MATCH($D115&amp;"/RUB",$C$17:$C$19,0))),0)</f>
        <v>0</v>
      </c>
      <c r="K210" s="237">
        <f>IFERROR(IF($D115="RUB",$E115*K115*(1+K$29),$E115*K115*(1+INDEX(K$30:K$35,MATCH("Инфляция "&amp;$D115,$C$30:$C$35,0)+1))*INDEX(Расчет!K$17:K$19,MATCH($D115&amp;"/RUB",$C$17:$C$19,0))),0)</f>
        <v>0</v>
      </c>
      <c r="L210" s="237">
        <f>IFERROR(IF($D115="RUB",$E115*L115*(1+L$29),$E115*L115*(1+INDEX(L$30:L$35,MATCH("Инфляция "&amp;$D115,$C$30:$C$35,0)+1))*INDEX(Расчет!L$17:L$19,MATCH($D115&amp;"/RUB",$C$17:$C$19,0))),0)</f>
        <v>0</v>
      </c>
      <c r="M210" s="237">
        <f>IFERROR(IF($D115="RUB",$E115*M115*(1+M$29),$E115*M115*(1+INDEX(M$30:M$35,MATCH("Инфляция "&amp;$D115,$C$30:$C$35,0)+1))*INDEX(Расчет!M$17:M$19,MATCH($D115&amp;"/RUB",$C$17:$C$19,0))),0)</f>
        <v>0</v>
      </c>
      <c r="N210" s="237">
        <f>IFERROR(IF($D115="RUB",$E115*N115*(1+N$29),$E115*N115*(1+INDEX(N$30:N$35,MATCH("Инфляция "&amp;$D115,$C$30:$C$35,0)+1))*INDEX(Расчет!N$17:N$19,MATCH($D115&amp;"/RUB",$C$17:$C$19,0))),0)</f>
        <v>0</v>
      </c>
      <c r="O210" s="237">
        <f>IFERROR(IF($D115="RUB",$E115*O115*(1+O$29),$E115*O115*(1+INDEX(O$30:O$35,MATCH("Инфляция "&amp;$D115,$C$30:$C$35,0)+1))*INDEX(Расчет!O$17:O$19,MATCH($D115&amp;"/RUB",$C$17:$C$19,0))),0)</f>
        <v>0</v>
      </c>
      <c r="P210" s="237">
        <f>IFERROR(IF($D115="RUB",$E115*P115*(1+P$29),$E115*P115*(1+INDEX(P$30:P$35,MATCH("Инфляция "&amp;$D115,$C$30:$C$35,0)+1))*INDEX(Расчет!P$17:P$19,MATCH($D115&amp;"/RUB",$C$17:$C$19,0))),0)</f>
        <v>0</v>
      </c>
      <c r="Q210" s="237">
        <f>IFERROR(IF($D115="RUB",$E115*Q115*(1+Q$29),$E115*Q115*(1+INDEX(Q$30:Q$35,MATCH("Инфляция "&amp;$D115,$C$30:$C$35,0)+1))*INDEX(Расчет!Q$17:Q$19,MATCH($D115&amp;"/RUB",$C$17:$C$19,0))),0)</f>
        <v>0</v>
      </c>
      <c r="R210" s="237">
        <f>IFERROR(IF($D115="RUB",$E115*R115*(1+R$29),$E115*R115*(1+INDEX(R$30:R$35,MATCH("Инфляция "&amp;$D115,$C$30:$C$35,0)+1))*INDEX(Расчет!R$17:R$19,MATCH($D115&amp;"/RUB",$C$17:$C$19,0))),0)</f>
        <v>0</v>
      </c>
      <c r="S210" s="237">
        <f>IFERROR(IF($D115="RUB",$E115*S115*(1+S$29),$E115*S115*(1+INDEX(S$30:S$35,MATCH("Инфляция "&amp;$D115,$C$30:$C$35,0)+1))*INDEX(Расчет!S$17:S$19,MATCH($D115&amp;"/RUB",$C$17:$C$19,0))),0)</f>
        <v>0</v>
      </c>
    </row>
    <row r="211" spans="1:19" s="2" customFormat="1" ht="16.5" x14ac:dyDescent="0.3">
      <c r="A211" s="238"/>
      <c r="B211" s="238"/>
      <c r="C211" s="200"/>
      <c r="D211" s="242"/>
      <c r="E211" s="253"/>
      <c r="F211" s="254"/>
      <c r="G211" s="251"/>
      <c r="H211" s="253"/>
      <c r="I211" s="253"/>
      <c r="J211" s="253"/>
      <c r="K211" s="253"/>
      <c r="L211" s="253"/>
      <c r="M211" s="253"/>
      <c r="N211" s="253"/>
      <c r="O211" s="253"/>
      <c r="P211" s="253"/>
      <c r="Q211" s="253"/>
      <c r="R211" s="253"/>
      <c r="S211" s="253"/>
    </row>
    <row r="212" spans="1:19" s="2" customFormat="1" ht="16.5" x14ac:dyDescent="0.3">
      <c r="A212" s="223"/>
      <c r="B212" s="223"/>
      <c r="C212" s="200" t="str">
        <f>'Бюджет на запуск'!$B$185</f>
        <v>Производственный персонал:</v>
      </c>
      <c r="D212" s="229"/>
      <c r="E212" s="235"/>
      <c r="F212" s="236"/>
      <c r="G212" s="232"/>
      <c r="H212" s="253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</row>
    <row r="213" spans="1:19" s="2" customFormat="1" ht="16.5" x14ac:dyDescent="0.3">
      <c r="A213" s="223"/>
      <c r="B213" s="223"/>
      <c r="C213" s="219" t="str">
        <f>'Бюджет на запуск'!$B$186</f>
        <v>производственный персонал</v>
      </c>
      <c r="D213" s="242" t="s">
        <v>12</v>
      </c>
      <c r="E213" s="230">
        <f ca="1">SUM(H213:S213)</f>
        <v>3194195.4869649014</v>
      </c>
      <c r="F213" s="236"/>
      <c r="G213" s="232"/>
      <c r="H213" s="237">
        <f ca="1">IFERROR(IF($D118="RUB",'Бюджет на запуск'!$D186*'Бюджет на запуск'!H186*(1+H$29),'Бюджет на запуск'!$D186*'Бюджет на запуск'!H186*(1+INDEX(H$30:H$35,MATCH("Инфляция "&amp;$D118,$C$30:$C$35,0)+1))*INDEX(Расчет!H$17:H$19,MATCH($D118&amp;"/RUB",$C$17:$C$19,0))),0)</f>
        <v>0</v>
      </c>
      <c r="I213" s="237">
        <f ca="1">IFERROR(IF($D118="RUB",'Бюджет на запуск'!$D186*'Бюджет на запуск'!I186*(1+I$29),'Бюджет на запуск'!$D186*'Бюджет на запуск'!I186*(1+INDEX(I$30:I$35,MATCH("Инфляция "&amp;$D118,$C$30:$C$35,0)+1))*INDEX(Расчет!I$17:I$19,MATCH($D118&amp;"/RUB",$C$17:$C$19,0))),0)</f>
        <v>85949.923844170102</v>
      </c>
      <c r="J213" s="237">
        <f ca="1">IFERROR(IF($D118="RUB",'Бюджет на запуск'!$D186*'Бюджет на запуск'!J186*(1+J$29),'Бюджет на запуск'!$D186*'Бюджет на запуск'!J186*(1+INDEX(J$30:J$35,MATCH("Инфляция "&amp;$D118,$C$30:$C$35,0)+1))*INDEX(Расчет!J$17:J$19,MATCH($D118&amp;"/RUB",$C$17:$C$19,0))),0)</f>
        <v>172857.71872301979</v>
      </c>
      <c r="K213" s="237">
        <f ca="1">IFERROR(IF($D118="RUB",'Бюджет на запуск'!$D186*'Бюджет на запуск'!K186*(1+K$29),'Бюджет на запуск'!$D186*'Бюджет на запуск'!K186*(1+INDEX(K$30:K$35,MATCH("Инфляция "&amp;$D118,$C$30:$C$35,0)+1))*INDEX(Расчет!K$17:K$19,MATCH($D118&amp;"/RUB",$C$17:$C$19,0))),0)</f>
        <v>173820.92726632094</v>
      </c>
      <c r="L213" s="237">
        <f ca="1">IFERROR(IF($D118="RUB",'Бюджет на запуск'!$D186*'Бюджет на запуск'!L186*(1+L$29),'Бюджет на запуск'!$D186*'Бюджет на запуск'!L186*(1+INDEX(L$30:L$35,MATCH("Инфляция "&amp;$D118,$C$30:$C$35,0)+1))*INDEX(Расчет!L$17:L$19,MATCH($D118&amp;"/RUB",$C$17:$C$19,0))),0)</f>
        <v>174789.50306024152</v>
      </c>
      <c r="M213" s="237">
        <f ca="1">IFERROR(IF($D118="RUB",'Бюджет на запуск'!$D186*'Бюджет на запуск'!M186*(1+M$29),'Бюджет на запуск'!$D186*'Бюджет на запуск'!M186*(1+INDEX(M$30:M$35,MATCH("Инфляция "&amp;$D118,$C$30:$C$35,0)+1))*INDEX(Расчет!M$17:M$19,MATCH($D118&amp;"/RUB",$C$17:$C$19,0))),0)</f>
        <v>175763.47601250961</v>
      </c>
      <c r="N213" s="237">
        <f ca="1">IFERROR(IF($D118="RUB",'Бюджет на запуск'!$D186*'Бюджет на запуск'!N186*(1+N$29),'Бюджет на запуск'!$D186*'Бюджет на запуск'!N186*(1+INDEX(N$30:N$35,MATCH("Инфляция "&amp;$D118,$C$30:$C$35,0)+1))*INDEX(Расчет!N$17:N$19,MATCH($D118&amp;"/RUB",$C$17:$C$19,0))),0)</f>
        <v>176507.21080377378</v>
      </c>
      <c r="O213" s="237">
        <f ca="1">IFERROR(IF($D118="RUB",'Бюджет на запуск'!$D186*'Бюджет на запуск'!O186*(1+O$29),'Бюджет на запуск'!$D186*'Бюджет на запуск'!O186*(1+INDEX(O$30:O$35,MATCH("Инфляция "&amp;$D118,$C$30:$C$35,0)+1))*INDEX(Расчет!O$17:O$19,MATCH($D118&amp;"/RUB",$C$17:$C$19,0))),0)</f>
        <v>443135.23168360721</v>
      </c>
      <c r="P213" s="237">
        <f ca="1">IFERROR(IF($D118="RUB",'Бюджет на запуск'!$D186*'Бюджет на запуск'!P186*(1+P$29),'Бюджет на запуск'!$D186*'Бюджет на запуск'!P186*(1+INDEX(P$30:P$35,MATCH("Инфляция "&amp;$D118,$C$30:$C$35,0)+1))*INDEX(Расчет!P$17:P$19,MATCH($D118&amp;"/RUB",$C$17:$C$19,0))),0)</f>
        <v>445010.33734557399</v>
      </c>
      <c r="Q213" s="237">
        <f ca="1">IFERROR(IF($D118="RUB",'Бюджет на запуск'!$D186*'Бюджет на запуск'!Q186*(1+Q$29),'Бюджет на запуск'!$D186*'Бюджет на запуск'!Q186*(1+INDEX(Q$30:Q$35,MATCH("Инфляция "&amp;$D118,$C$30:$C$35,0)+1))*INDEX(Расчет!Q$17:Q$19,MATCH($D118&amp;"/RUB",$C$17:$C$19,0))),0)</f>
        <v>446893.37742798874</v>
      </c>
      <c r="R213" s="237">
        <f ca="1">IFERROR(IF($D118="RUB",'Бюджет на запуск'!$D186*'Бюджет на запуск'!R186*(1+R$29),'Бюджет на запуск'!$D186*'Бюджет на запуск'!R186*(1+INDEX(R$30:R$35,MATCH("Инфляция "&amp;$D118,$C$30:$C$35,0)+1))*INDEX(Расчет!R$17:R$19,MATCH($D118&amp;"/RUB",$C$17:$C$19,0))),0)</f>
        <v>448784.38550497458</v>
      </c>
      <c r="S213" s="237">
        <f ca="1">IFERROR(IF($D118="RUB",'Бюджет на запуск'!$D186*'Бюджет на запуск'!S186*(1+S$29),'Бюджет на запуск'!$D186*'Бюджет на запуск'!S186*(1+INDEX(S$30:S$35,MATCH("Инфляция "&amp;$D118,$C$30:$C$35,0)+1))*INDEX(Расчет!S$17:S$19,MATCH($D118&amp;"/RUB",$C$17:$C$19,0))),0)</f>
        <v>450683.3952927214</v>
      </c>
    </row>
    <row r="214" spans="1:19" s="2" customFormat="1" ht="16.5" x14ac:dyDescent="0.3">
      <c r="A214" s="223"/>
      <c r="B214" s="223"/>
      <c r="C214" s="219" t="str">
        <f>'Бюджет на запуск'!$B$187</f>
        <v>инженерно-технический персонал</v>
      </c>
      <c r="D214" s="242" t="s">
        <v>12</v>
      </c>
      <c r="E214" s="230">
        <f ca="1">SUM(H214:S214)</f>
        <v>1492540.0290051789</v>
      </c>
      <c r="F214" s="236"/>
      <c r="G214" s="232"/>
      <c r="H214" s="237">
        <f ca="1">IFERROR(IF($D119="RUB",'Бюджет на запуск'!$D187*'Бюджет на запуск'!H187*(1+H$29),'Бюджет на запуск'!$D187*'Бюджет на запуск'!H187*(1+INDEX(H$30:H$35,MATCH("Инфляция "&amp;$D119,$C$30:$C$35,0)+1))*INDEX(Расчет!H$17:H$19,MATCH($D119&amp;"/RUB",$C$17:$C$19,0))),0)</f>
        <v>0</v>
      </c>
      <c r="I214" s="237">
        <f ca="1">IFERROR(IF($D119="RUB",'Бюджет на запуск'!$D187*'Бюджет на запуск'!I187*(1+I$29),'Бюджет на запуск'!$D187*'Бюджет на запуск'!I187*(1+INDEX(I$30:I$35,MATCH("Инфляция "&amp;$D119,$C$30:$C$35,0)+1))*INDEX(Расчет!I$17:I$19,MATCH($D119&amp;"/RUB",$C$17:$C$19,0))),0)</f>
        <v>171899.8476883402</v>
      </c>
      <c r="J214" s="237">
        <f ca="1">IFERROR(IF($D119="RUB",'Бюджет на запуск'!$D187*'Бюджет на запуск'!J187*(1+J$29),'Бюджет на запуск'!$D187*'Бюджет на запуск'!J187*(1+INDEX(J$30:J$35,MATCH("Инфляция "&amp;$D119,$C$30:$C$35,0)+1))*INDEX(Расчет!J$17:J$19,MATCH($D119&amp;"/RUB",$C$17:$C$19,0))),0)</f>
        <v>172857.71872301979</v>
      </c>
      <c r="K214" s="237">
        <f ca="1">IFERROR(IF($D119="RUB",'Бюджет на запуск'!$D187*'Бюджет на запуск'!K187*(1+K$29),'Бюджет на запуск'!$D187*'Бюджет на запуск'!K187*(1+INDEX(K$30:K$35,MATCH("Инфляция "&amp;$D119,$C$30:$C$35,0)+1))*INDEX(Расчет!K$17:K$19,MATCH($D119&amp;"/RUB",$C$17:$C$19,0))),0)</f>
        <v>173820.92726632094</v>
      </c>
      <c r="L214" s="237">
        <f ca="1">IFERROR(IF($D119="RUB",'Бюджет на запуск'!$D187*'Бюджет на запуск'!L187*(1+L$29),'Бюджет на запуск'!$D187*'Бюджет на запуск'!L187*(1+INDEX(L$30:L$35,MATCH("Инфляция "&amp;$D119,$C$30:$C$35,0)+1))*INDEX(Расчет!L$17:L$19,MATCH($D119&amp;"/RUB",$C$17:$C$19,0))),0)</f>
        <v>174789.50306024152</v>
      </c>
      <c r="M214" s="237">
        <f ca="1">IFERROR(IF($D119="RUB",'Бюджет на запуск'!$D187*'Бюджет на запуск'!M187*(1+M$29),'Бюджет на запуск'!$D187*'Бюджет на запуск'!M187*(1+INDEX(M$30:M$35,MATCH("Инфляция "&amp;$D119,$C$30:$C$35,0)+1))*INDEX(Расчет!M$17:M$19,MATCH($D119&amp;"/RUB",$C$17:$C$19,0))),0)</f>
        <v>175763.47601250961</v>
      </c>
      <c r="N214" s="237">
        <f ca="1">IFERROR(IF($D119="RUB",'Бюджет на запуск'!$D187*'Бюджет на запуск'!N187*(1+N$29),'Бюджет на запуск'!$D187*'Бюджет на запуск'!N187*(1+INDEX(N$30:N$35,MATCH("Инфляция "&amp;$D119,$C$30:$C$35,0)+1))*INDEX(Расчет!N$17:N$19,MATCH($D119&amp;"/RUB",$C$17:$C$19,0))),0)</f>
        <v>176507.21080377378</v>
      </c>
      <c r="O214" s="237">
        <f ca="1">IFERROR(IF($D119="RUB",'Бюджет на запуск'!$D187*'Бюджет на запуск'!O187*(1+O$29),'Бюджет на запуск'!$D187*'Бюджет на запуск'!O187*(1+INDEX(O$30:O$35,MATCH("Инфляция "&amp;$D119,$C$30:$C$35,0)+1))*INDEX(Расчет!O$17:O$19,MATCH($D119&amp;"/RUB",$C$17:$C$19,0))),0)</f>
        <v>88627.046336721454</v>
      </c>
      <c r="P214" s="237">
        <f ca="1">IFERROR(IF($D119="RUB",'Бюджет на запуск'!$D187*'Бюджет на запуск'!P187*(1+P$29),'Бюджет на запуск'!$D187*'Бюджет на запуск'!P187*(1+INDEX(P$30:P$35,MATCH("Инфляция "&amp;$D119,$C$30:$C$35,0)+1))*INDEX(Расчет!P$17:P$19,MATCH($D119&amp;"/RUB",$C$17:$C$19,0))),0)</f>
        <v>89002.067469114801</v>
      </c>
      <c r="Q214" s="237">
        <f ca="1">IFERROR(IF($D119="RUB",'Бюджет на запуск'!$D187*'Бюджет на запуск'!Q187*(1+Q$29),'Бюджет на запуск'!$D187*'Бюджет на запуск'!Q187*(1+INDEX(Q$30:Q$35,MATCH("Инфляция "&amp;$D119,$C$30:$C$35,0)+1))*INDEX(Расчет!Q$17:Q$19,MATCH($D119&amp;"/RUB",$C$17:$C$19,0))),0)</f>
        <v>89378.675485597749</v>
      </c>
      <c r="R214" s="237">
        <f ca="1">IFERROR(IF($D119="RUB",'Бюджет на запуск'!$D187*'Бюджет на запуск'!R187*(1+R$29),'Бюджет на запуск'!$D187*'Бюджет на запуск'!R187*(1+INDEX(R$30:R$35,MATCH("Инфляция "&amp;$D119,$C$30:$C$35,0)+1))*INDEX(Расчет!R$17:R$19,MATCH($D119&amp;"/RUB",$C$17:$C$19,0))),0)</f>
        <v>89756.877100994912</v>
      </c>
      <c r="S214" s="237">
        <f ca="1">IFERROR(IF($D119="RUB",'Бюджет на запуск'!$D187*'Бюджет на запуск'!S187*(1+S$29),'Бюджет на запуск'!$D187*'Бюджет на запуск'!S187*(1+INDEX(S$30:S$35,MATCH("Инфляция "&amp;$D119,$C$30:$C$35,0)+1))*INDEX(Расчет!S$17:S$19,MATCH($D119&amp;"/RUB",$C$17:$C$19,0))),0)</f>
        <v>90136.67905854428</v>
      </c>
    </row>
    <row r="215" spans="1:19" s="2" customFormat="1" ht="16.5" x14ac:dyDescent="0.3">
      <c r="A215" s="223"/>
      <c r="B215" s="223"/>
      <c r="C215" s="200"/>
      <c r="D215" s="229"/>
      <c r="E215" s="235"/>
      <c r="F215" s="236"/>
      <c r="G215" s="232"/>
      <c r="H215" s="253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</row>
    <row r="216" spans="1:19" s="2" customFormat="1" ht="16.5" x14ac:dyDescent="0.3">
      <c r="A216" s="223"/>
      <c r="B216" s="223"/>
      <c r="C216" s="200" t="str">
        <f>'Бюджет на запуск'!$B$189</f>
        <v>Услуги сторонних организаций:</v>
      </c>
      <c r="D216" s="229"/>
      <c r="E216" s="235"/>
      <c r="F216" s="236"/>
      <c r="G216" s="232"/>
      <c r="H216" s="253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</row>
    <row r="217" spans="1:19" s="2" customFormat="1" ht="16.5" x14ac:dyDescent="0.3">
      <c r="A217" s="223"/>
      <c r="B217" s="223"/>
      <c r="C217" s="219" t="str">
        <f>'Бюджет на запуск'!$B$190</f>
        <v>выполнение отдельных операций / услуг</v>
      </c>
      <c r="D217" s="242" t="s">
        <v>12</v>
      </c>
      <c r="E217" s="230">
        <f ca="1">SUM(H217:S217)</f>
        <v>18401.820106804778</v>
      </c>
      <c r="F217" s="231">
        <f>F122</f>
        <v>0.2</v>
      </c>
      <c r="G217" s="232"/>
      <c r="H217" s="237">
        <f ca="1">IFERROR(IF($D122="RUB",'Бюджет на запуск'!$D190*'Бюджет на запуск'!H190*(1+H$29),'Бюджет на запуск'!$D190*'Бюджет на запуск'!H190*(1+INDEX(H$30:H$35,MATCH("Инфляция "&amp;$D122,$C$30:$C$35,0)+1))*INDEX(Расчет!H$17:H$19,MATCH($D122&amp;"/RUB",$C$17:$C$19,0))),0)</f>
        <v>0</v>
      </c>
      <c r="I217" s="237">
        <f ca="1">IFERROR(IF($D122="RUB",'Бюджет на запуск'!$D190*'Бюджет на запуск'!I190*(1+I$29),'Бюджет на запуск'!$D190*'Бюджет на запуск'!I190*(1+INDEX(I$30:I$35,MATCH("Инфляция "&amp;$D122,$C$30:$C$35,0)+1))*INDEX(Расчет!I$17:I$19,MATCH($D122&amp;"/RUB",$C$17:$C$19,0))),0)</f>
        <v>0</v>
      </c>
      <c r="J217" s="237">
        <f ca="1">IFERROR(IF($D122="RUB",'Бюджет на запуск'!$D190*'Бюджет на запуск'!J190*(1+J$29),'Бюджет на запуск'!$D190*'Бюджет на запуск'!J190*(1+INDEX(J$30:J$35,MATCH("Инфляция "&amp;$D122,$C$30:$C$35,0)+1))*INDEX(Расчет!J$17:J$19,MATCH($D122&amp;"/RUB",$C$17:$C$19,0))),0)</f>
        <v>0</v>
      </c>
      <c r="K217" s="237">
        <f ca="1">IFERROR(IF($D122="RUB",'Бюджет на запуск'!$D190*'Бюджет на запуск'!K190*(1+K$29),'Бюджет на запуск'!$D190*'Бюджет на запуск'!K190*(1+INDEX(K$30:K$35,MATCH("Инфляция "&amp;$D122,$C$30:$C$35,0)+1))*INDEX(Расчет!K$17:K$19,MATCH($D122&amp;"/RUB",$C$17:$C$19,0))),0)</f>
        <v>0</v>
      </c>
      <c r="L217" s="237">
        <f ca="1">IFERROR(IF($D122="RUB",'Бюджет на запуск'!$D190*'Бюджет на запуск'!L190*(1+L$29),'Бюджет на запуск'!$D190*'Бюджет на запуск'!L190*(1+INDEX(L$30:L$35,MATCH("Инфляция "&amp;$D122,$C$30:$C$35,0)+1))*INDEX(Расчет!L$17:L$19,MATCH($D122&amp;"/RUB",$C$17:$C$19,0))),0)</f>
        <v>0</v>
      </c>
      <c r="M217" s="237">
        <f ca="1">IFERROR(IF($D122="RUB",'Бюджет на запуск'!$D190*'Бюджет на запуск'!M190*(1+M$29),'Бюджет на запуск'!$D190*'Бюджет на запуск'!M190*(1+INDEX(M$30:M$35,MATCH("Инфляция "&amp;$D122,$C$30:$C$35,0)+1))*INDEX(Расчет!M$17:M$19,MATCH($D122&amp;"/RUB",$C$17:$C$19,0))),0)</f>
        <v>0</v>
      </c>
      <c r="N217" s="237">
        <f ca="1">IFERROR(IF($D122="RUB",'Бюджет на запуск'!$D190*'Бюджет на запуск'!N190*(1+N$29),'Бюджет на запуск'!$D190*'Бюджет на запуск'!N190*(1+INDEX(N$30:N$35,MATCH("Инфляция "&amp;$D122,$C$30:$C$35,0)+1))*INDEX(Расчет!N$17:N$19,MATCH($D122&amp;"/RUB",$C$17:$C$19,0))),0)</f>
        <v>0</v>
      </c>
      <c r="O217" s="237">
        <f ca="1">IFERROR(IF($D122="RUB",'Бюджет на запуск'!$D190*'Бюджет на запуск'!O190*(1+O$29),'Бюджет на запуск'!$D190*'Бюджет на запуск'!O190*(1+INDEX(O$30:O$35,MATCH("Инфляция "&amp;$D122,$C$30:$C$35,0)+1))*INDEX(Расчет!O$17:O$19,MATCH($D122&amp;"/RUB",$C$17:$C$19,0))),0)</f>
        <v>3649.3489668061775</v>
      </c>
      <c r="P217" s="237">
        <f ca="1">IFERROR(IF($D122="RUB",'Бюджет на запуск'!$D190*'Бюджет на запуск'!P190*(1+P$29),'Бюджет на запуск'!$D190*'Бюджет на запуск'!P190*(1+INDEX(P$30:P$35,MATCH("Инфляция "&amp;$D122,$C$30:$C$35,0)+1))*INDEX(Расчет!P$17:P$19,MATCH($D122&amp;"/RUB",$C$17:$C$19,0))),0)</f>
        <v>3664.7910134341387</v>
      </c>
      <c r="Q217" s="237">
        <f ca="1">IFERROR(IF($D122="RUB",'Бюджет на запуск'!$D190*'Бюджет на запуск'!Q190*(1+Q$29),'Бюджет на запуск'!$D190*'Бюджет на запуск'!Q190*(1+INDEX(Q$30:Q$35,MATCH("Инфляция "&amp;$D122,$C$30:$C$35,0)+1))*INDEX(Расчет!Q$17:Q$19,MATCH($D122&amp;"/RUB",$C$17:$C$19,0))),0)</f>
        <v>3680.2984023481426</v>
      </c>
      <c r="R217" s="237">
        <f ca="1">IFERROR(IF($D122="RUB",'Бюджет на запуск'!$D190*'Бюджет на запуск'!R190*(1+R$29),'Бюджет на запуск'!$D190*'Бюджет на запуск'!R190*(1+INDEX(R$30:R$35,MATCH("Инфляция "&amp;$D122,$C$30:$C$35,0)+1))*INDEX(Расчет!R$17:R$19,MATCH($D122&amp;"/RUB",$C$17:$C$19,0))),0)</f>
        <v>3695.871410040967</v>
      </c>
      <c r="S217" s="237">
        <f ca="1">IFERROR(IF($D122="RUB",'Бюджет на запуск'!$D190*'Бюджет на запуск'!S190*(1+S$29),'Бюджет на запуск'!$D190*'Бюджет на запуск'!S190*(1+INDEX(S$30:S$35,MATCH("Инфляция "&amp;$D122,$C$30:$C$35,0)+1))*INDEX(Расчет!S$17:S$19,MATCH($D122&amp;"/RUB",$C$17:$C$19,0))),0)</f>
        <v>3711.5103141753525</v>
      </c>
    </row>
    <row r="218" spans="1:19" s="2" customFormat="1" ht="16.5" x14ac:dyDescent="0.3">
      <c r="A218" s="223"/>
      <c r="B218" s="223"/>
      <c r="C218" s="219" t="str">
        <f>'Бюджет на запуск'!$B$191</f>
        <v>выполнение отдельных операций / услуг</v>
      </c>
      <c r="D218" s="242" t="s">
        <v>12</v>
      </c>
      <c r="E218" s="230">
        <f ca="1">SUM(H218:S218)</f>
        <v>52576.628876585077</v>
      </c>
      <c r="F218" s="231">
        <f>F123</f>
        <v>0.2</v>
      </c>
      <c r="G218" s="232"/>
      <c r="H218" s="237">
        <f ca="1">IFERROR(IF($D123="RUB",'Бюджет на запуск'!$D191*'Бюджет на запуск'!H191*(1+H$29),'Бюджет на запуск'!$D191*'Бюджет на запуск'!H191*(1+INDEX(H$30:H$35,MATCH("Инфляция "&amp;$D123,$C$30:$C$35,0)+1))*INDEX(Расчет!H$17:H$19,MATCH($D123&amp;"/RUB",$C$17:$C$19,0))),0)</f>
        <v>0</v>
      </c>
      <c r="I218" s="237">
        <f ca="1">IFERROR(IF($D123="RUB",'Бюджет на запуск'!$D191*'Бюджет на запуск'!I191*(1+I$29),'Бюджет на запуск'!$D191*'Бюджет на запуск'!I191*(1+INDEX(I$30:I$35,MATCH("Инфляция "&amp;$D123,$C$30:$C$35,0)+1))*INDEX(Расчет!I$17:I$19,MATCH($D123&amp;"/RUB",$C$17:$C$19,0))),0)</f>
        <v>0</v>
      </c>
      <c r="J218" s="237">
        <f ca="1">IFERROR(IF($D123="RUB",'Бюджет на запуск'!$D191*'Бюджет на запуск'!J191*(1+J$29),'Бюджет на запуск'!$D191*'Бюджет на запуск'!J191*(1+INDEX(J$30:J$35,MATCH("Инфляция "&amp;$D123,$C$30:$C$35,0)+1))*INDEX(Расчет!J$17:J$19,MATCH($D123&amp;"/RUB",$C$17:$C$19,0))),0)</f>
        <v>0</v>
      </c>
      <c r="K218" s="237">
        <f ca="1">IFERROR(IF($D123="RUB",'Бюджет на запуск'!$D191*'Бюджет на запуск'!K191*(1+K$29),'Бюджет на запуск'!$D191*'Бюджет на запуск'!K191*(1+INDEX(K$30:K$35,MATCH("Инфляция "&amp;$D123,$C$30:$C$35,0)+1))*INDEX(Расчет!K$17:K$19,MATCH($D123&amp;"/RUB",$C$17:$C$19,0))),0)</f>
        <v>0</v>
      </c>
      <c r="L218" s="237">
        <f ca="1">IFERROR(IF($D123="RUB",'Бюджет на запуск'!$D191*'Бюджет на запуск'!L191*(1+L$29),'Бюджет на запуск'!$D191*'Бюджет на запуск'!L191*(1+INDEX(L$30:L$35,MATCH("Инфляция "&amp;$D123,$C$30:$C$35,0)+1))*INDEX(Расчет!L$17:L$19,MATCH($D123&amp;"/RUB",$C$17:$C$19,0))),0)</f>
        <v>0</v>
      </c>
      <c r="M218" s="237">
        <f ca="1">IFERROR(IF($D123="RUB",'Бюджет на запуск'!$D191*'Бюджет на запуск'!M191*(1+M$29),'Бюджет на запуск'!$D191*'Бюджет на запуск'!M191*(1+INDEX(M$30:M$35,MATCH("Инфляция "&amp;$D123,$C$30:$C$35,0)+1))*INDEX(Расчет!M$17:M$19,MATCH($D123&amp;"/RUB",$C$17:$C$19,0))),0)</f>
        <v>0</v>
      </c>
      <c r="N218" s="237">
        <f ca="1">IFERROR(IF($D123="RUB",'Бюджет на запуск'!$D191*'Бюджет на запуск'!N191*(1+N$29),'Бюджет на запуск'!$D191*'Бюджет на запуск'!N191*(1+INDEX(N$30:N$35,MATCH("Инфляция "&amp;$D123,$C$30:$C$35,0)+1))*INDEX(Расчет!N$17:N$19,MATCH($D123&amp;"/RUB",$C$17:$C$19,0))),0)</f>
        <v>0</v>
      </c>
      <c r="O218" s="237">
        <f ca="1">IFERROR(IF($D123="RUB",'Бюджет на запуск'!$D191*'Бюджет на запуск'!O191*(1+O$29),'Бюджет на запуск'!$D191*'Бюджет на запуск'!O191*(1+INDEX(O$30:O$35,MATCH("Инфляция "&amp;$D123,$C$30:$C$35,0)+1))*INDEX(Расчет!O$17:O$19,MATCH($D123&amp;"/RUB",$C$17:$C$19,0))),0)</f>
        <v>10426.711333731935</v>
      </c>
      <c r="P218" s="237">
        <f ca="1">IFERROR(IF($D123="RUB",'Бюджет на запуск'!$D191*'Бюджет на запуск'!P191*(1+P$29),'Бюджет на запуск'!$D191*'Бюджет на запуск'!P191*(1+INDEX(P$30:P$35,MATCH("Инфляция "&amp;$D123,$C$30:$C$35,0)+1))*INDEX(Расчет!P$17:P$19,MATCH($D123&amp;"/RUB",$C$17:$C$19,0))),0)</f>
        <v>10470.831466954682</v>
      </c>
      <c r="Q218" s="237">
        <f ca="1">IFERROR(IF($D123="RUB",'Бюджет на запуск'!$D191*'Бюджет на запуск'!Q191*(1+Q$29),'Бюджет на запуск'!$D191*'Бюджет на запуск'!Q191*(1+INDEX(Q$30:Q$35,MATCH("Инфляция "&amp;$D123,$C$30:$C$35,0)+1))*INDEX(Расчет!Q$17:Q$19,MATCH($D123&amp;"/RUB",$C$17:$C$19,0))),0)</f>
        <v>10515.138292423266</v>
      </c>
      <c r="R218" s="237">
        <f ca="1">IFERROR(IF($D123="RUB",'Бюджет на запуск'!$D191*'Бюджет на запуск'!R191*(1+R$29),'Бюджет на запуск'!$D191*'Бюджет на запуск'!R191*(1+INDEX(R$30:R$35,MATCH("Инфляция "&amp;$D123,$C$30:$C$35,0)+1))*INDEX(Расчет!R$17:R$19,MATCH($D123&amp;"/RUB",$C$17:$C$19,0))),0)</f>
        <v>10559.632600117047</v>
      </c>
      <c r="S218" s="237">
        <f ca="1">IFERROR(IF($D123="RUB",'Бюджет на запуск'!$D191*'Бюджет на запуск'!S191*(1+S$29),'Бюджет на запуск'!$D191*'Бюджет на запуск'!S191*(1+INDEX(S$30:S$35,MATCH("Инфляция "&amp;$D123,$C$30:$C$35,0)+1))*INDEX(Расчет!S$17:S$19,MATCH($D123&amp;"/RUB",$C$17:$C$19,0))),0)</f>
        <v>10604.315183358151</v>
      </c>
    </row>
    <row r="219" spans="1:19" s="2" customFormat="1" ht="16.5" x14ac:dyDescent="0.3">
      <c r="A219" s="223"/>
      <c r="B219" s="223"/>
      <c r="C219" s="200"/>
      <c r="D219" s="229"/>
      <c r="E219" s="235"/>
      <c r="F219" s="236"/>
      <c r="G219" s="232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</row>
    <row r="220" spans="1:19" s="2" customFormat="1" ht="16.5" x14ac:dyDescent="0.3">
      <c r="A220" s="223"/>
      <c r="B220" s="223"/>
      <c r="C220" s="200" t="str">
        <f>'Бюджет на запуск'!$B$193</f>
        <v>Непроизводственный персонал:</v>
      </c>
      <c r="D220" s="229"/>
      <c r="E220" s="235"/>
      <c r="F220" s="236"/>
      <c r="G220" s="232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</row>
    <row r="221" spans="1:19" s="2" customFormat="1" ht="16.5" x14ac:dyDescent="0.3">
      <c r="A221" s="223"/>
      <c r="B221" s="223"/>
      <c r="C221" s="219" t="str">
        <f>'Бюджет на запуск'!$B$194</f>
        <v>руководитель проекта</v>
      </c>
      <c r="D221" s="242" t="s">
        <v>12</v>
      </c>
      <c r="E221" s="230">
        <f>SUM(H221:S221)</f>
        <v>2136926.1826802408</v>
      </c>
      <c r="F221" s="236"/>
      <c r="G221" s="232"/>
      <c r="H221" s="237">
        <f>IFERROR(IF($D126="RUB",'Бюджет на запуск'!$D194*'Бюджет на запуск'!H194*(1+H$29),'Бюджет на запуск'!$D194*'Бюджет на запуск'!H194*(1+INDEX(H$30:H$35,MATCH("Инфляция "&amp;$D126,$C$30:$C$35,0)+1))*INDEX(Расчет!H$17:H$19,MATCH($D126&amp;"/RUB",$C$17:$C$19,0))),0)</f>
        <v>176465.36634491701</v>
      </c>
      <c r="I221" s="237">
        <f>IFERROR(IF($D126="RUB",'Бюджет на запуск'!$D194*'Бюджет на запуск'!I194*(1+I$29),'Бюджет на запуск'!$D194*'Бюджет на запуск'!I194*(1+INDEX(I$30:I$35,MATCH("Инфляция "&amp;$D126,$C$30:$C$35,0)+1))*INDEX(Расчет!I$17:I$19,MATCH($D126&amp;"/RUB",$C$17:$C$19,0))),0)</f>
        <v>176756.81324440878</v>
      </c>
      <c r="J221" s="237">
        <f>IFERROR(IF($D126="RUB",'Бюджет на запуск'!$D194*'Бюджет на запуск'!J194*(1+J$29),'Бюджет на запуск'!$D194*'Бюджет на запуск'!J194*(1+INDEX(J$30:J$35,MATCH("Инфляция "&amp;$D126,$C$30:$C$35,0)+1))*INDEX(Расчет!J$17:J$19,MATCH($D126&amp;"/RUB",$C$17:$C$19,0))),0)</f>
        <v>177048.74149215023</v>
      </c>
      <c r="K221" s="237">
        <f>IFERROR(IF($D126="RUB",'Бюджет на запуск'!$D194*'Бюджет на запуск'!K194*(1+K$29),'Бюджет на запуск'!$D194*'Бюджет на запуск'!K194*(1+INDEX(K$30:K$35,MATCH("Инфляция "&amp;$D126,$C$30:$C$35,0)+1))*INDEX(Расчет!K$17:K$19,MATCH($D126&amp;"/RUB",$C$17:$C$19,0))),0)</f>
        <v>177341.15188312717</v>
      </c>
      <c r="L221" s="237">
        <f>IFERROR(IF($D126="RUB",'Бюджет на запуск'!$D194*'Бюджет на запуск'!L194*(1+L$29),'Бюджет на запуск'!$D194*'Бюджет на запуск'!L194*(1+INDEX(L$30:L$35,MATCH("Инфляция "&amp;$D126,$C$30:$C$35,0)+1))*INDEX(Расчет!L$17:L$19,MATCH($D126&amp;"/RUB",$C$17:$C$19,0))),0)</f>
        <v>177634.04521363834</v>
      </c>
      <c r="M221" s="237">
        <f>IFERROR(IF($D126="RUB",'Бюджет на запуск'!$D194*'Бюджет на запуск'!M194*(1+M$29),'Бюджет на запуск'!$D194*'Бюджет на запуск'!M194*(1+INDEX(M$30:M$35,MATCH("Инфляция "&amp;$D126,$C$30:$C$35,0)+1))*INDEX(Расчет!M$17:M$19,MATCH($D126&amp;"/RUB",$C$17:$C$19,0))),0)</f>
        <v>177927.42228129762</v>
      </c>
      <c r="N221" s="237">
        <f>IFERROR(IF($D126="RUB",'Бюджет на запуск'!$D194*'Бюджет на запуск'!N194*(1+N$29),'Бюджет на запуск'!$D194*'Бюджет на запуск'!N194*(1+INDEX(N$30:N$35,MATCH("Инфляция "&amp;$D126,$C$30:$C$35,0)+1))*INDEX(Расчет!N$17:N$19,MATCH($D126&amp;"/RUB",$C$17:$C$19,0))),0)</f>
        <v>178221.2838850363</v>
      </c>
      <c r="O221" s="237">
        <f>IFERROR(IF($D126="RUB",'Бюджет на запуск'!$D194*'Бюджет на запуск'!O194*(1+O$29),'Бюджет на запуск'!$D194*'Бюджет на запуск'!O194*(1+INDEX(O$30:O$35,MATCH("Инфляция "&amp;$D126,$C$30:$C$35,0)+1))*INDEX(Расчет!O$17:O$19,MATCH($D126&amp;"/RUB",$C$17:$C$19,0))),0)</f>
        <v>178515.63082510504</v>
      </c>
      <c r="P221" s="237">
        <f>IFERROR(IF($D126="RUB",'Бюджет на запуск'!$D194*'Бюджет на запуск'!P194*(1+P$29),'Бюджет на запуск'!$D194*'Бюджет на запуск'!P194*(1+INDEX(P$30:P$35,MATCH("Инфляция "&amp;$D126,$C$30:$C$35,0)+1))*INDEX(Расчет!P$17:P$19,MATCH($D126&amp;"/RUB",$C$17:$C$19,0))),0)</f>
        <v>178810.46390307625</v>
      </c>
      <c r="Q221" s="237">
        <f>IFERROR(IF($D126="RUB",'Бюджет на запуск'!$D194*'Бюджет на запуск'!Q194*(1+Q$29),'Бюджет на запуск'!$D194*'Бюджет на запуск'!Q194*(1+INDEX(Q$30:Q$35,MATCH("Инфляция "&amp;$D126,$C$30:$C$35,0)+1))*INDEX(Расчет!Q$17:Q$19,MATCH($D126&amp;"/RUB",$C$17:$C$19,0))),0)</f>
        <v>179105.78392184625</v>
      </c>
      <c r="R221" s="237">
        <f>IFERROR(IF($D126="RUB",'Бюджет на запуск'!$D194*'Бюджет на запуск'!R194*(1+R$29),'Бюджет на запуск'!$D194*'Бюджет на запуск'!R194*(1+INDEX(R$30:R$35,MATCH("Инфляция "&amp;$D126,$C$30:$C$35,0)+1))*INDEX(Расчет!R$17:R$19,MATCH($D126&amp;"/RUB",$C$17:$C$19,0))),0)</f>
        <v>179401.59168563734</v>
      </c>
      <c r="S221" s="237">
        <f>IFERROR(IF($D126="RUB",'Бюджет на запуск'!$D194*'Бюджет на запуск'!S194*(1+S$29),'Бюджет на запуск'!$D194*'Бюджет на запуск'!S194*(1+INDEX(S$30:S$35,MATCH("Инфляция "&amp;$D126,$C$30:$C$35,0)+1))*INDEX(Расчет!S$17:S$19,MATCH($D126&amp;"/RUB",$C$17:$C$19,0))),0)</f>
        <v>179697.88800000004</v>
      </c>
    </row>
    <row r="222" spans="1:19" s="2" customFormat="1" ht="16.5" x14ac:dyDescent="0.3">
      <c r="A222" s="223"/>
      <c r="B222" s="223"/>
      <c r="C222" s="219" t="str">
        <f>'Бюджет на запуск'!$B$195</f>
        <v>переводчик</v>
      </c>
      <c r="D222" s="242" t="s">
        <v>12</v>
      </c>
      <c r="E222" s="230">
        <f>SUM(H222:S222)</f>
        <v>801347.31850509008</v>
      </c>
      <c r="F222" s="236"/>
      <c r="G222" s="232"/>
      <c r="H222" s="237">
        <f>IFERROR(IF($D127="RUB",'Бюджет на запуск'!$D195*'Бюджет на запуск'!H195*(1+H$29),'Бюджет на запуск'!$D195*'Бюджет на запуск'!H195*(1+INDEX(H$30:H$35,MATCH("Инфляция "&amp;$D127,$C$30:$C$35,0)+1))*INDEX(Расчет!H$17:H$19,MATCH($D127&amp;"/RUB",$C$17:$C$19,0))),0)</f>
        <v>66174.512379343869</v>
      </c>
      <c r="I222" s="237">
        <f>IFERROR(IF($D127="RUB",'Бюджет на запуск'!$D195*'Бюджет на запуск'!I195*(1+I$29),'Бюджет на запуск'!$D195*'Бюджет на запуск'!I195*(1+INDEX(I$30:I$35,MATCH("Инфляция "&amp;$D127,$C$30:$C$35,0)+1))*INDEX(Расчет!I$17:I$19,MATCH($D127&amp;"/RUB",$C$17:$C$19,0))),0)</f>
        <v>66283.80496665329</v>
      </c>
      <c r="J222" s="237">
        <f>IFERROR(IF($D127="RUB",'Бюджет на запуск'!$D195*'Бюджет на запуск'!J195*(1+J$29),'Бюджет на запуск'!$D195*'Бюджет на запуск'!J195*(1+INDEX(J$30:J$35,MATCH("Инфляция "&amp;$D127,$C$30:$C$35,0)+1))*INDEX(Расчет!J$17:J$19,MATCH($D127&amp;"/RUB",$C$17:$C$19,0))),0)</f>
        <v>66393.278059556338</v>
      </c>
      <c r="K222" s="237">
        <f>IFERROR(IF($D127="RUB",'Бюджет на запуск'!$D195*'Бюджет на запуск'!K195*(1+K$29),'Бюджет на запуск'!$D195*'Бюджет на запуск'!K195*(1+INDEX(K$30:K$35,MATCH("Инфляция "&amp;$D127,$C$30:$C$35,0)+1))*INDEX(Расчет!K$17:K$19,MATCH($D127&amp;"/RUB",$C$17:$C$19,0))),0)</f>
        <v>66502.931956172688</v>
      </c>
      <c r="L222" s="237">
        <f>IFERROR(IF($D127="RUB",'Бюджет на запуск'!$D195*'Бюджет на запуск'!L195*(1+L$29),'Бюджет на запуск'!$D195*'Бюджет на запуск'!L195*(1+INDEX(L$30:L$35,MATCH("Инфляция "&amp;$D127,$C$30:$C$35,0)+1))*INDEX(Расчет!L$17:L$19,MATCH($D127&amp;"/RUB",$C$17:$C$19,0))),0)</f>
        <v>66612.766955114377</v>
      </c>
      <c r="M222" s="237">
        <f>IFERROR(IF($D127="RUB",'Бюджет на запуск'!$D195*'Бюджет на запуск'!M195*(1+M$29),'Бюджет на запуск'!$D195*'Бюджет на запуск'!M195*(1+INDEX(M$30:M$35,MATCH("Инфляция "&amp;$D127,$C$30:$C$35,0)+1))*INDEX(Расчет!M$17:M$19,MATCH($D127&amp;"/RUB",$C$17:$C$19,0))),0)</f>
        <v>66722.783355486623</v>
      </c>
      <c r="N222" s="237">
        <f>IFERROR(IF($D127="RUB",'Бюджет на запуск'!$D195*'Бюджет на запуск'!N195*(1+N$29),'Бюджет на запуск'!$D195*'Бюджет на запуск'!N195*(1+INDEX(N$30:N$35,MATCH("Инфляция "&amp;$D127,$C$30:$C$35,0)+1))*INDEX(Расчет!N$17:N$19,MATCH($D127&amp;"/RUB",$C$17:$C$19,0))),0)</f>
        <v>66832.981456888621</v>
      </c>
      <c r="O222" s="237">
        <f>IFERROR(IF($D127="RUB",'Бюджет на запуск'!$D195*'Бюджет на запуск'!O195*(1+O$29),'Бюджет на запуск'!$D195*'Бюджет на запуск'!O195*(1+INDEX(O$30:O$35,MATCH("Инфляция "&amp;$D127,$C$30:$C$35,0)+1))*INDEX(Расчет!O$17:O$19,MATCH($D127&amp;"/RUB",$C$17:$C$19,0))),0)</f>
        <v>66943.361559414392</v>
      </c>
      <c r="P222" s="237">
        <f>IFERROR(IF($D127="RUB",'Бюджет на запуск'!$D195*'Бюджет на запуск'!P195*(1+P$29),'Бюджет на запуск'!$D195*'Бюджет на запуск'!P195*(1+INDEX(P$30:P$35,MATCH("Инфляция "&amp;$D127,$C$30:$C$35,0)+1))*INDEX(Расчет!P$17:P$19,MATCH($D127&amp;"/RUB",$C$17:$C$19,0))),0)</f>
        <v>67053.923963653593</v>
      </c>
      <c r="Q222" s="237">
        <f>IFERROR(IF($D127="RUB",'Бюджет на запуск'!$D195*'Бюджет на запуск'!Q195*(1+Q$29),'Бюджет на запуск'!$D195*'Бюджет на запуск'!Q195*(1+INDEX(Q$30:Q$35,MATCH("Инфляция "&amp;$D127,$C$30:$C$35,0)+1))*INDEX(Расчет!Q$17:Q$19,MATCH($D127&amp;"/RUB",$C$17:$C$19,0))),0)</f>
        <v>67164.668970692335</v>
      </c>
      <c r="R222" s="237">
        <f>IFERROR(IF($D127="RUB",'Бюджет на запуск'!$D195*'Бюджет на запуск'!R195*(1+R$29),'Бюджет на запуск'!$D195*'Бюджет на запуск'!R195*(1+INDEX(R$30:R$35,MATCH("Инфляция "&amp;$D127,$C$30:$C$35,0)+1))*INDEX(Расчет!R$17:R$19,MATCH($D127&amp;"/RUB",$C$17:$C$19,0))),0)</f>
        <v>67275.596882113998</v>
      </c>
      <c r="S222" s="237">
        <f>IFERROR(IF($D127="RUB",'Бюджет на запуск'!$D195*'Бюджет на запуск'!S195*(1+S$29),'Бюджет на запуск'!$D195*'Бюджет на запуск'!S195*(1+INDEX(S$30:S$35,MATCH("Инфляция "&amp;$D127,$C$30:$C$35,0)+1))*INDEX(Расчет!S$17:S$19,MATCH($D127&amp;"/RUB",$C$17:$C$19,0))),0)</f>
        <v>67386.708000000013</v>
      </c>
    </row>
    <row r="223" spans="1:19" s="2" customFormat="1" ht="16.5" x14ac:dyDescent="0.3">
      <c r="A223" s="223"/>
      <c r="B223" s="223"/>
      <c r="C223" s="219" t="str">
        <f>'Бюджет на запуск'!$B$196</f>
        <v>юрист</v>
      </c>
      <c r="D223" s="242" t="s">
        <v>12</v>
      </c>
      <c r="E223" s="230">
        <f>SUM(H223:S223)</f>
        <v>534226.69627697894</v>
      </c>
      <c r="F223" s="236"/>
      <c r="G223" s="232"/>
      <c r="H223" s="237">
        <f>IFERROR(IF($D128="RUB",'Бюджет на запуск'!$D196*'Бюджет на запуск'!H196*(1+H$29),'Бюджет на запуск'!$D196*'Бюджет на запуск'!H196*(1+INDEX(H$30:H$35,MATCH("Инфляция "&amp;$D128,$C$30:$C$35,0)+1))*INDEX(Расчет!H$17:H$19,MATCH($D128&amp;"/RUB",$C$17:$C$19,0))),0)</f>
        <v>0</v>
      </c>
      <c r="I223" s="237">
        <f>IFERROR(IF($D128="RUB",'Бюджет на запуск'!$D196*'Бюджет на запуск'!I196*(1+I$29),'Бюджет на запуск'!$D196*'Бюджет на запуск'!I196*(1+INDEX(I$30:I$35,MATCH("Инфляция "&amp;$D128,$C$30:$C$35,0)+1))*INDEX(Расчет!I$17:I$19,MATCH($D128&amp;"/RUB",$C$17:$C$19,0))),0)</f>
        <v>0</v>
      </c>
      <c r="J223" s="237">
        <f>IFERROR(IF($D128="RUB",'Бюджет на запуск'!$D196*'Бюджет на запуск'!J196*(1+J$29),'Бюджет на запуск'!$D196*'Бюджет на запуск'!J196*(1+INDEX(J$30:J$35,MATCH("Инфляция "&amp;$D128,$C$30:$C$35,0)+1))*INDEX(Расчет!J$17:J$19,MATCH($D128&amp;"/RUB",$C$17:$C$19,0))),0)</f>
        <v>66393.278059556338</v>
      </c>
      <c r="K223" s="237">
        <f>IFERROR(IF($D128="RUB",'Бюджет на запуск'!$D196*'Бюджет на запуск'!K196*(1+K$29),'Бюджет на запуск'!$D196*'Бюджет на запуск'!K196*(1+INDEX(K$30:K$35,MATCH("Инфляция "&amp;$D128,$C$30:$C$35,0)+1))*INDEX(Расчет!K$17:K$19,MATCH($D128&amp;"/RUB",$C$17:$C$19,0))),0)</f>
        <v>66502.931956172688</v>
      </c>
      <c r="L223" s="237">
        <f>IFERROR(IF($D128="RUB",'Бюджет на запуск'!$D196*'Бюджет на запуск'!L196*(1+L$29),'Бюджет на запуск'!$D196*'Бюджет на запуск'!L196*(1+INDEX(L$30:L$35,MATCH("Инфляция "&amp;$D128,$C$30:$C$35,0)+1))*INDEX(Расчет!L$17:L$19,MATCH($D128&amp;"/RUB",$C$17:$C$19,0))),0)</f>
        <v>66612.766955114377</v>
      </c>
      <c r="M223" s="237">
        <f>IFERROR(IF($D128="RUB",'Бюджет на запуск'!$D196*'Бюджет на запуск'!M196*(1+M$29),'Бюджет на запуск'!$D196*'Бюджет на запуск'!M196*(1+INDEX(M$30:M$35,MATCH("Инфляция "&amp;$D128,$C$30:$C$35,0)+1))*INDEX(Расчет!M$17:M$19,MATCH($D128&amp;"/RUB",$C$17:$C$19,0))),0)</f>
        <v>66722.783355486623</v>
      </c>
      <c r="N223" s="237">
        <f>IFERROR(IF($D128="RUB",'Бюджет на запуск'!$D196*'Бюджет на запуск'!N196*(1+N$29),'Бюджет на запуск'!$D196*'Бюджет на запуск'!N196*(1+INDEX(N$30:N$35,MATCH("Инфляция "&amp;$D128,$C$30:$C$35,0)+1))*INDEX(Расчет!N$17:N$19,MATCH($D128&amp;"/RUB",$C$17:$C$19,0))),0)</f>
        <v>66832.981456888621</v>
      </c>
      <c r="O223" s="237">
        <f>IFERROR(IF($D128="RUB",'Бюджет на запуск'!$D196*'Бюджет на запуск'!O196*(1+O$29),'Бюджет на запуск'!$D196*'Бюджет на запуск'!O196*(1+INDEX(O$30:O$35,MATCH("Инфляция "&amp;$D128,$C$30:$C$35,0)+1))*INDEX(Расчет!O$17:O$19,MATCH($D128&amp;"/RUB",$C$17:$C$19,0))),0)</f>
        <v>66943.361559414392</v>
      </c>
      <c r="P223" s="237">
        <f>IFERROR(IF($D128="RUB",'Бюджет на запуск'!$D196*'Бюджет на запуск'!P196*(1+P$29),'Бюджет на запуск'!$D196*'Бюджет на запуск'!P196*(1+INDEX(P$30:P$35,MATCH("Инфляция "&amp;$D128,$C$30:$C$35,0)+1))*INDEX(Расчет!P$17:P$19,MATCH($D128&amp;"/RUB",$C$17:$C$19,0))),0)</f>
        <v>67053.923963653593</v>
      </c>
      <c r="Q223" s="237">
        <f>IFERROR(IF($D128="RUB",'Бюджет на запуск'!$D196*'Бюджет на запуск'!Q196*(1+Q$29),'Бюджет на запуск'!$D196*'Бюджет на запуск'!Q196*(1+INDEX(Q$30:Q$35,MATCH("Инфляция "&amp;$D128,$C$30:$C$35,0)+1))*INDEX(Расчет!Q$17:Q$19,MATCH($D128&amp;"/RUB",$C$17:$C$19,0))),0)</f>
        <v>67164.668970692335</v>
      </c>
      <c r="R223" s="237">
        <f>IFERROR(IF($D128="RUB",'Бюджет на запуск'!$D196*'Бюджет на запуск'!R196*(1+R$29),'Бюджет на запуск'!$D196*'Бюджет на запуск'!R196*(1+INDEX(R$30:R$35,MATCH("Инфляция "&amp;$D128,$C$30:$C$35,0)+1))*INDEX(Расчет!R$17:R$19,MATCH($D128&amp;"/RUB",$C$17:$C$19,0))),0)</f>
        <v>0</v>
      </c>
      <c r="S223" s="237">
        <f>IFERROR(IF($D128="RUB",'Бюджет на запуск'!$D196*'Бюджет на запуск'!S196*(1+S$29),'Бюджет на запуск'!$D196*'Бюджет на запуск'!S196*(1+INDEX(S$30:S$35,MATCH("Инфляция "&amp;$D128,$C$30:$C$35,0)+1))*INDEX(Расчет!S$17:S$19,MATCH($D128&amp;"/RUB",$C$17:$C$19,0))),0)</f>
        <v>0</v>
      </c>
    </row>
    <row r="224" spans="1:19" s="2" customFormat="1" ht="16.5" x14ac:dyDescent="0.3">
      <c r="A224" s="223"/>
      <c r="B224" s="223"/>
      <c r="C224" s="219" t="str">
        <f>'Бюджет на запуск'!$B$197</f>
        <v>бухгалтер</v>
      </c>
      <c r="D224" s="242" t="s">
        <v>12</v>
      </c>
      <c r="E224" s="230">
        <f>SUM(H224:S224)</f>
        <v>735172.80612574623</v>
      </c>
      <c r="F224" s="236"/>
      <c r="G224" s="232"/>
      <c r="H224" s="237">
        <f>IFERROR(IF($D129="RUB",'Бюджет на запуск'!$D197*'Бюджет на запуск'!H197*(1+H$29),'Бюджет на запуск'!$D197*'Бюджет на запуск'!H197*(1+INDEX(H$30:H$35,MATCH("Инфляция "&amp;$D129,$C$30:$C$35,0)+1))*INDEX(Расчет!H$17:H$19,MATCH($D129&amp;"/RUB",$C$17:$C$19,0))),0)</f>
        <v>0</v>
      </c>
      <c r="I224" s="237">
        <f>IFERROR(IF($D129="RUB",'Бюджет на запуск'!$D197*'Бюджет на запуск'!I197*(1+I$29),'Бюджет на запуск'!$D197*'Бюджет на запуск'!I197*(1+INDEX(I$30:I$35,MATCH("Инфляция "&amp;$D129,$C$30:$C$35,0)+1))*INDEX(Расчет!I$17:I$19,MATCH($D129&amp;"/RUB",$C$17:$C$19,0))),0)</f>
        <v>66283.80496665329</v>
      </c>
      <c r="J224" s="237">
        <f>IFERROR(IF($D129="RUB",'Бюджет на запуск'!$D197*'Бюджет на запуск'!J197*(1+J$29),'Бюджет на запуск'!$D197*'Бюджет на запуск'!J197*(1+INDEX(J$30:J$35,MATCH("Инфляция "&amp;$D129,$C$30:$C$35,0)+1))*INDEX(Расчет!J$17:J$19,MATCH($D129&amp;"/RUB",$C$17:$C$19,0))),0)</f>
        <v>66393.278059556338</v>
      </c>
      <c r="K224" s="237">
        <f>IFERROR(IF($D129="RUB",'Бюджет на запуск'!$D197*'Бюджет на запуск'!K197*(1+K$29),'Бюджет на запуск'!$D197*'Бюджет на запуск'!K197*(1+INDEX(K$30:K$35,MATCH("Инфляция "&amp;$D129,$C$30:$C$35,0)+1))*INDEX(Расчет!K$17:K$19,MATCH($D129&amp;"/RUB",$C$17:$C$19,0))),0)</f>
        <v>66502.931956172688</v>
      </c>
      <c r="L224" s="237">
        <f>IFERROR(IF($D129="RUB",'Бюджет на запуск'!$D197*'Бюджет на запуск'!L197*(1+L$29),'Бюджет на запуск'!$D197*'Бюджет на запуск'!L197*(1+INDEX(L$30:L$35,MATCH("Инфляция "&amp;$D129,$C$30:$C$35,0)+1))*INDEX(Расчет!L$17:L$19,MATCH($D129&amp;"/RUB",$C$17:$C$19,0))),0)</f>
        <v>66612.766955114377</v>
      </c>
      <c r="M224" s="237">
        <f>IFERROR(IF($D129="RUB",'Бюджет на запуск'!$D197*'Бюджет на запуск'!M197*(1+M$29),'Бюджет на запуск'!$D197*'Бюджет на запуск'!M197*(1+INDEX(M$30:M$35,MATCH("Инфляция "&amp;$D129,$C$30:$C$35,0)+1))*INDEX(Расчет!M$17:M$19,MATCH($D129&amp;"/RUB",$C$17:$C$19,0))),0)</f>
        <v>66722.783355486623</v>
      </c>
      <c r="N224" s="237">
        <f>IFERROR(IF($D129="RUB",'Бюджет на запуск'!$D197*'Бюджет на запуск'!N197*(1+N$29),'Бюджет на запуск'!$D197*'Бюджет на запуск'!N197*(1+INDEX(N$30:N$35,MATCH("Инфляция "&amp;$D129,$C$30:$C$35,0)+1))*INDEX(Расчет!N$17:N$19,MATCH($D129&amp;"/RUB",$C$17:$C$19,0))),0)</f>
        <v>66832.981456888621</v>
      </c>
      <c r="O224" s="237">
        <f>IFERROR(IF($D129="RUB",'Бюджет на запуск'!$D197*'Бюджет на запуск'!O197*(1+O$29),'Бюджет на запуск'!$D197*'Бюджет на запуск'!O197*(1+INDEX(O$30:O$35,MATCH("Инфляция "&amp;$D129,$C$30:$C$35,0)+1))*INDEX(Расчет!O$17:O$19,MATCH($D129&amp;"/RUB",$C$17:$C$19,0))),0)</f>
        <v>66943.361559414392</v>
      </c>
      <c r="P224" s="237">
        <f>IFERROR(IF($D129="RUB",'Бюджет на запуск'!$D197*'Бюджет на запуск'!P197*(1+P$29),'Бюджет на запуск'!$D197*'Бюджет на запуск'!P197*(1+INDEX(P$30:P$35,MATCH("Инфляция "&amp;$D129,$C$30:$C$35,0)+1))*INDEX(Расчет!P$17:P$19,MATCH($D129&amp;"/RUB",$C$17:$C$19,0))),0)</f>
        <v>67053.923963653593</v>
      </c>
      <c r="Q224" s="237">
        <f>IFERROR(IF($D129="RUB",'Бюджет на запуск'!$D197*'Бюджет на запуск'!Q197*(1+Q$29),'Бюджет на запуск'!$D197*'Бюджет на запуск'!Q197*(1+INDEX(Q$30:Q$35,MATCH("Инфляция "&amp;$D129,$C$30:$C$35,0)+1))*INDEX(Расчет!Q$17:Q$19,MATCH($D129&amp;"/RUB",$C$17:$C$19,0))),0)</f>
        <v>67164.668970692335</v>
      </c>
      <c r="R224" s="237">
        <f>IFERROR(IF($D129="RUB",'Бюджет на запуск'!$D197*'Бюджет на запуск'!R197*(1+R$29),'Бюджет на запуск'!$D197*'Бюджет на запуск'!R197*(1+INDEX(R$30:R$35,MATCH("Инфляция "&amp;$D129,$C$30:$C$35,0)+1))*INDEX(Расчет!R$17:R$19,MATCH($D129&amp;"/RUB",$C$17:$C$19,0))),0)</f>
        <v>67275.596882113998</v>
      </c>
      <c r="S224" s="237">
        <f>IFERROR(IF($D129="RUB",'Бюджет на запуск'!$D197*'Бюджет на запуск'!S197*(1+S$29),'Бюджет на запуск'!$D197*'Бюджет на запуск'!S197*(1+INDEX(S$30:S$35,MATCH("Инфляция "&amp;$D129,$C$30:$C$35,0)+1))*INDEX(Расчет!S$17:S$19,MATCH($D129&amp;"/RUB",$C$17:$C$19,0))),0)</f>
        <v>67386.708000000013</v>
      </c>
    </row>
    <row r="225" spans="1:19" s="2" customFormat="1" ht="16.5" x14ac:dyDescent="0.3">
      <c r="A225" s="223"/>
      <c r="B225" s="223"/>
      <c r="C225" s="219" t="str">
        <f>'Бюджет на запуск'!$B$198</f>
        <v>IT</v>
      </c>
      <c r="D225" s="242" t="s">
        <v>12</v>
      </c>
      <c r="E225" s="230">
        <f>SUM(H225:S225)</f>
        <v>399348.54674987192</v>
      </c>
      <c r="F225" s="236"/>
      <c r="G225" s="232"/>
      <c r="H225" s="237">
        <f>IFERROR(IF($D130="RUB",'Бюджет на запуск'!$D198*'Бюджет на запуск'!H198*(1+H$29),'Бюджет на запуск'!$D198*'Бюджет на запуск'!H198*(1+INDEX(H$30:H$35,MATCH("Инфляция "&amp;$D130,$C$30:$C$35,0)+1))*INDEX(Расчет!H$17:H$19,MATCH($D130&amp;"/RUB",$C$17:$C$19,0))),0)</f>
        <v>0</v>
      </c>
      <c r="I225" s="237">
        <f>IFERROR(IF($D130="RUB",'Бюджет на запуск'!$D198*'Бюджет на запуск'!I198*(1+I$29),'Бюджет на запуск'!$D198*'Бюджет на запуск'!I198*(1+INDEX(I$30:I$35,MATCH("Инфляция "&amp;$D130,$C$30:$C$35,0)+1))*INDEX(Расчет!I$17:I$19,MATCH($D130&amp;"/RUB",$C$17:$C$19,0))),0)</f>
        <v>66283.80496665329</v>
      </c>
      <c r="J225" s="237">
        <f>IFERROR(IF($D130="RUB",'Бюджет на запуск'!$D198*'Бюджет на запуск'!J198*(1+J$29),'Бюджет на запуск'!$D198*'Бюджет на запуск'!J198*(1+INDEX(J$30:J$35,MATCH("Инфляция "&amp;$D130,$C$30:$C$35,0)+1))*INDEX(Расчет!J$17:J$19,MATCH($D130&amp;"/RUB",$C$17:$C$19,0))),0)</f>
        <v>66393.278059556338</v>
      </c>
      <c r="K225" s="237">
        <f>IFERROR(IF($D130="RUB",'Бюджет на запуск'!$D198*'Бюджет на запуск'!K198*(1+K$29),'Бюджет на запуск'!$D198*'Бюджет на запуск'!K198*(1+INDEX(K$30:K$35,MATCH("Инфляция "&amp;$D130,$C$30:$C$35,0)+1))*INDEX(Расчет!K$17:K$19,MATCH($D130&amp;"/RUB",$C$17:$C$19,0))),0)</f>
        <v>66502.931956172688</v>
      </c>
      <c r="L225" s="237">
        <f>IFERROR(IF($D130="RUB",'Бюджет на запуск'!$D198*'Бюджет на запуск'!L198*(1+L$29),'Бюджет на запуск'!$D198*'Бюджет на запуск'!L198*(1+INDEX(L$30:L$35,MATCH("Инфляция "&amp;$D130,$C$30:$C$35,0)+1))*INDEX(Расчет!L$17:L$19,MATCH($D130&amp;"/RUB",$C$17:$C$19,0))),0)</f>
        <v>66612.766955114377</v>
      </c>
      <c r="M225" s="237">
        <f>IFERROR(IF($D130="RUB",'Бюджет на запуск'!$D198*'Бюджет на запуск'!M198*(1+M$29),'Бюджет на запуск'!$D198*'Бюджет на запуск'!M198*(1+INDEX(M$30:M$35,MATCH("Инфляция "&amp;$D130,$C$30:$C$35,0)+1))*INDEX(Расчет!M$17:M$19,MATCH($D130&amp;"/RUB",$C$17:$C$19,0))),0)</f>
        <v>66722.783355486623</v>
      </c>
      <c r="N225" s="237">
        <f>IFERROR(IF($D130="RUB",'Бюджет на запуск'!$D198*'Бюджет на запуск'!N198*(1+N$29),'Бюджет на запуск'!$D198*'Бюджет на запуск'!N198*(1+INDEX(N$30:N$35,MATCH("Инфляция "&amp;$D130,$C$30:$C$35,0)+1))*INDEX(Расчет!N$17:N$19,MATCH($D130&amp;"/RUB",$C$17:$C$19,0))),0)</f>
        <v>66832.981456888621</v>
      </c>
      <c r="O225" s="237">
        <f>IFERROR(IF($D130="RUB",'Бюджет на запуск'!$D198*'Бюджет на запуск'!O198*(1+O$29),'Бюджет на запуск'!$D198*'Бюджет на запуск'!O198*(1+INDEX(O$30:O$35,MATCH("Инфляция "&amp;$D130,$C$30:$C$35,0)+1))*INDEX(Расчет!O$17:O$19,MATCH($D130&amp;"/RUB",$C$17:$C$19,0))),0)</f>
        <v>0</v>
      </c>
      <c r="P225" s="237">
        <f>IFERROR(IF($D130="RUB",'Бюджет на запуск'!$D198*'Бюджет на запуск'!P198*(1+P$29),'Бюджет на запуск'!$D198*'Бюджет на запуск'!P198*(1+INDEX(P$30:P$35,MATCH("Инфляция "&amp;$D130,$C$30:$C$35,0)+1))*INDEX(Расчет!P$17:P$19,MATCH($D130&amp;"/RUB",$C$17:$C$19,0))),0)</f>
        <v>0</v>
      </c>
      <c r="Q225" s="237">
        <f>IFERROR(IF($D130="RUB",'Бюджет на запуск'!$D198*'Бюджет на запуск'!Q198*(1+Q$29),'Бюджет на запуск'!$D198*'Бюджет на запуск'!Q198*(1+INDEX(Q$30:Q$35,MATCH("Инфляция "&amp;$D130,$C$30:$C$35,0)+1))*INDEX(Расчет!Q$17:Q$19,MATCH($D130&amp;"/RUB",$C$17:$C$19,0))),0)</f>
        <v>0</v>
      </c>
      <c r="R225" s="237">
        <f>IFERROR(IF($D130="RUB",'Бюджет на запуск'!$D198*'Бюджет на запуск'!R198*(1+R$29),'Бюджет на запуск'!$D198*'Бюджет на запуск'!R198*(1+INDEX(R$30:R$35,MATCH("Инфляция "&amp;$D130,$C$30:$C$35,0)+1))*INDEX(Расчет!R$17:R$19,MATCH($D130&amp;"/RUB",$C$17:$C$19,0))),0)</f>
        <v>0</v>
      </c>
      <c r="S225" s="237">
        <f>IFERROR(IF($D130="RUB",'Бюджет на запуск'!$D198*'Бюджет на запуск'!S198*(1+S$29),'Бюджет на запуск'!$D198*'Бюджет на запуск'!S198*(1+INDEX(S$30:S$35,MATCH("Инфляция "&amp;$D130,$C$30:$C$35,0)+1))*INDEX(Расчет!S$17:S$19,MATCH($D130&amp;"/RUB",$C$17:$C$19,0))),0)</f>
        <v>0</v>
      </c>
    </row>
    <row r="226" spans="1:19" s="2" customFormat="1" ht="16.5" x14ac:dyDescent="0.3">
      <c r="A226" s="238"/>
      <c r="B226" s="238"/>
      <c r="C226" s="200"/>
      <c r="D226" s="242"/>
      <c r="E226" s="253"/>
      <c r="F226" s="236"/>
      <c r="G226" s="251"/>
      <c r="H226" s="253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</row>
    <row r="227" spans="1:19" s="2" customFormat="1" ht="16.5" x14ac:dyDescent="0.3">
      <c r="A227" s="223"/>
      <c r="B227" s="223"/>
      <c r="C227" s="255" t="str">
        <f>"Итого в "&amp;'Бюджет на запуск'!$H$3</f>
        <v>Итого в RUB</v>
      </c>
      <c r="D227" s="229" t="str">
        <f>'Бюджет на запуск'!$H$3</f>
        <v>RUB</v>
      </c>
      <c r="E227" s="230">
        <f ca="1">SUM(H227:S227)</f>
        <v>31958333.02732515</v>
      </c>
      <c r="F227" s="256">
        <f ca="1">E227/$E$243</f>
        <v>0.64532403574929664</v>
      </c>
      <c r="G227" s="232"/>
      <c r="H227" s="237">
        <f ca="1">SUMIF($D$40:$D$130,$D227,H$135:H$225)</f>
        <v>2701972.6687067836</v>
      </c>
      <c r="I227" s="237">
        <f t="shared" ref="I227:S227" ca="1" si="72">SUMIF($D$40:$D$130,$D227,I$135:I$225)</f>
        <v>1879943.9225131713</v>
      </c>
      <c r="J227" s="237">
        <f t="shared" ca="1" si="72"/>
        <v>4724269.2400408061</v>
      </c>
      <c r="K227" s="237">
        <f t="shared" ca="1" si="72"/>
        <v>1987863.8397663075</v>
      </c>
      <c r="L227" s="237">
        <f t="shared" ca="1" si="72"/>
        <v>3448151.3535080198</v>
      </c>
      <c r="M227" s="237">
        <f t="shared" ca="1" si="72"/>
        <v>11487349.377350921</v>
      </c>
      <c r="N227" s="237">
        <f t="shared" ca="1" si="72"/>
        <v>2976396.1037499104</v>
      </c>
      <c r="O227" s="237">
        <f t="shared" ca="1" si="72"/>
        <v>545838.33832086669</v>
      </c>
      <c r="P227" s="237">
        <f t="shared" ca="1" si="72"/>
        <v>548148.02729507769</v>
      </c>
      <c r="Q227" s="237">
        <f t="shared" ca="1" si="72"/>
        <v>550467.48960835789</v>
      </c>
      <c r="R227" s="237">
        <f t="shared" ca="1" si="72"/>
        <v>552796.76661612745</v>
      </c>
      <c r="S227" s="237">
        <f t="shared" ca="1" si="72"/>
        <v>555135.89984879922</v>
      </c>
    </row>
    <row r="228" spans="1:19" s="65" customFormat="1" ht="6" x14ac:dyDescent="0.15">
      <c r="A228" s="257"/>
      <c r="B228" s="257"/>
      <c r="C228" s="258"/>
      <c r="D228" s="259"/>
      <c r="E228" s="260"/>
      <c r="F228" s="261"/>
      <c r="G228" s="262"/>
      <c r="H228" s="263"/>
      <c r="I228" s="263"/>
      <c r="J228" s="263"/>
      <c r="K228" s="263"/>
      <c r="L228" s="263"/>
      <c r="M228" s="263"/>
      <c r="N228" s="263"/>
      <c r="O228" s="263"/>
      <c r="P228" s="263"/>
      <c r="Q228" s="263"/>
      <c r="R228" s="263"/>
      <c r="S228" s="263"/>
    </row>
    <row r="229" spans="1:19" s="2" customFormat="1" ht="16.5" x14ac:dyDescent="0.3">
      <c r="A229" s="223"/>
      <c r="B229" s="223"/>
      <c r="C229" s="255" t="str">
        <f>"Итого в "&amp;'Бюджет на запуск'!$I$3&amp;" в пересчете на рубли"</f>
        <v>Итого в AED в пересчете на рубли</v>
      </c>
      <c r="D229" s="229" t="str">
        <f>'Бюджет на запуск'!$I$3</f>
        <v>AED</v>
      </c>
      <c r="E229" s="230">
        <f>SUM(H229:S229)</f>
        <v>9427573.401694607</v>
      </c>
      <c r="F229" s="256">
        <f ca="1">E229/$E$243</f>
        <v>0.19036786773898559</v>
      </c>
      <c r="G229" s="232"/>
      <c r="H229" s="237">
        <f>SUMIF($D$40:$D$130,$D229,H$135:H$225)</f>
        <v>2514067.054058312</v>
      </c>
      <c r="I229" s="237">
        <f t="shared" ref="I229:S229" si="73">SUMIF($D$40:$D$130,$D229,I$135:I$225)</f>
        <v>472703.27034406585</v>
      </c>
      <c r="J229" s="237">
        <f t="shared" si="73"/>
        <v>2723250.2747706645</v>
      </c>
      <c r="K229" s="237">
        <f t="shared" si="73"/>
        <v>635228.97326142096</v>
      </c>
      <c r="L229" s="237">
        <f t="shared" si="73"/>
        <v>2752406.6466589547</v>
      </c>
      <c r="M229" s="237">
        <f t="shared" si="73"/>
        <v>326450.85732776398</v>
      </c>
      <c r="N229" s="237">
        <f t="shared" si="73"/>
        <v>3466.3252734246189</v>
      </c>
      <c r="O229" s="237">
        <f t="shared" si="73"/>
        <v>0</v>
      </c>
      <c r="P229" s="237">
        <f t="shared" si="73"/>
        <v>0</v>
      </c>
      <c r="Q229" s="237">
        <f t="shared" si="73"/>
        <v>0</v>
      </c>
      <c r="R229" s="237">
        <f t="shared" si="73"/>
        <v>0</v>
      </c>
      <c r="S229" s="237">
        <f t="shared" si="73"/>
        <v>0</v>
      </c>
    </row>
    <row r="230" spans="1:19" s="65" customFormat="1" ht="6" x14ac:dyDescent="0.15">
      <c r="A230" s="257"/>
      <c r="B230" s="257"/>
      <c r="C230" s="258"/>
      <c r="D230" s="259"/>
      <c r="E230" s="260"/>
      <c r="F230" s="261"/>
      <c r="G230" s="262"/>
      <c r="H230" s="263"/>
      <c r="I230" s="263"/>
      <c r="J230" s="263"/>
      <c r="K230" s="263"/>
      <c r="L230" s="263"/>
      <c r="M230" s="263"/>
      <c r="N230" s="263"/>
      <c r="O230" s="263"/>
      <c r="P230" s="263"/>
      <c r="Q230" s="263"/>
      <c r="R230" s="263"/>
      <c r="S230" s="263"/>
    </row>
    <row r="231" spans="1:19" s="2" customFormat="1" ht="16.5" x14ac:dyDescent="0.3">
      <c r="A231" s="223"/>
      <c r="B231" s="223"/>
      <c r="C231" s="255" t="str">
        <f>"Итого в "&amp;'Бюджет на запуск'!$J$3&amp;" в пересчете на рубли"</f>
        <v>Итого в USD в пересчете на рубли</v>
      </c>
      <c r="D231" s="229" t="str">
        <f>'Бюджет на запуск'!$J$3</f>
        <v>USD</v>
      </c>
      <c r="E231" s="230">
        <f>SUM(H231:S231)</f>
        <v>5095274.4673273815</v>
      </c>
      <c r="F231" s="256">
        <f ca="1">E231/$E$243</f>
        <v>0.10288719000752154</v>
      </c>
      <c r="G231" s="232"/>
      <c r="H231" s="237">
        <f>SUMIF($D$40:$D$130,$D231,H$135:H$225)</f>
        <v>264698.04951737553</v>
      </c>
      <c r="I231" s="237">
        <f t="shared" ref="I231:S231" si="74">SUMIF($D$40:$D$130,$D231,I$135:I$225)</f>
        <v>397702.82979991974</v>
      </c>
      <c r="J231" s="237">
        <f t="shared" si="74"/>
        <v>475818.49276015372</v>
      </c>
      <c r="K231" s="237">
        <f t="shared" si="74"/>
        <v>476604.34568590426</v>
      </c>
      <c r="L231" s="237">
        <f t="shared" si="74"/>
        <v>712756.60641972395</v>
      </c>
      <c r="M231" s="237">
        <f t="shared" si="74"/>
        <v>553799.10185053898</v>
      </c>
      <c r="N231" s="237">
        <f t="shared" si="74"/>
        <v>445553.20971259073</v>
      </c>
      <c r="O231" s="237">
        <f t="shared" si="74"/>
        <v>379345.71550334827</v>
      </c>
      <c r="P231" s="237">
        <f t="shared" si="74"/>
        <v>379972.235794037</v>
      </c>
      <c r="Q231" s="237">
        <f t="shared" si="74"/>
        <v>380599.79083392321</v>
      </c>
      <c r="R231" s="237">
        <f t="shared" si="74"/>
        <v>313952.78544986533</v>
      </c>
      <c r="S231" s="237">
        <f t="shared" si="74"/>
        <v>314471.30400000006</v>
      </c>
    </row>
    <row r="232" spans="1:19" s="65" customFormat="1" ht="6" x14ac:dyDescent="0.15">
      <c r="A232" s="257"/>
      <c r="B232" s="257"/>
      <c r="C232" s="258"/>
      <c r="D232" s="259"/>
      <c r="E232" s="260"/>
      <c r="F232" s="261"/>
      <c r="G232" s="262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</row>
    <row r="233" spans="1:19" s="2" customFormat="1" ht="16.5" x14ac:dyDescent="0.3">
      <c r="A233" s="223"/>
      <c r="B233" s="223"/>
      <c r="C233" s="255" t="str">
        <f>"Итого в "&amp;'Бюджет на запуск'!$K$3&amp;" в пересчете на рубли"</f>
        <v>Итого в CNY в пересчете на рубли</v>
      </c>
      <c r="D233" s="229" t="str">
        <f>'Бюджет на запуск'!$K$3</f>
        <v>CNY</v>
      </c>
      <c r="E233" s="230">
        <f>SUM(H233:S233)</f>
        <v>3041742.8704978274</v>
      </c>
      <c r="F233" s="256">
        <f ca="1">E233/$E$243</f>
        <v>6.1420906504196349E-2</v>
      </c>
      <c r="G233" s="223"/>
      <c r="H233" s="237">
        <f>SUMIF($D$40:$D$130,$D233,H$135:H$225)</f>
        <v>0</v>
      </c>
      <c r="I233" s="237">
        <f t="shared" ref="I233:S233" si="75">SUMIF($D$40:$D$130,$D233,I$135:I$225)</f>
        <v>0</v>
      </c>
      <c r="J233" s="237">
        <f t="shared" si="75"/>
        <v>0</v>
      </c>
      <c r="K233" s="237">
        <f t="shared" si="75"/>
        <v>1011127.3461853944</v>
      </c>
      <c r="L233" s="237">
        <f t="shared" si="75"/>
        <v>0</v>
      </c>
      <c r="M233" s="237">
        <f t="shared" si="75"/>
        <v>1014470.022296125</v>
      </c>
      <c r="N233" s="237">
        <f t="shared" si="75"/>
        <v>1016145.5020163078</v>
      </c>
      <c r="O233" s="237">
        <f t="shared" si="75"/>
        <v>0</v>
      </c>
      <c r="P233" s="237">
        <f t="shared" si="75"/>
        <v>0</v>
      </c>
      <c r="Q233" s="237">
        <f t="shared" si="75"/>
        <v>0</v>
      </c>
      <c r="R233" s="237">
        <f t="shared" si="75"/>
        <v>0</v>
      </c>
      <c r="S233" s="237">
        <f t="shared" si="75"/>
        <v>0</v>
      </c>
    </row>
    <row r="234" spans="1:19" s="2" customFormat="1" ht="16.5" x14ac:dyDescent="0.3">
      <c r="A234" s="223"/>
      <c r="B234" s="223"/>
      <c r="C234" s="255"/>
      <c r="D234" s="194"/>
      <c r="E234" s="235"/>
      <c r="F234" s="254"/>
      <c r="G234" s="223"/>
      <c r="H234" s="253"/>
      <c r="I234" s="253"/>
      <c r="J234" s="253"/>
      <c r="K234" s="253"/>
      <c r="L234" s="253"/>
      <c r="M234" s="253"/>
      <c r="N234" s="253"/>
      <c r="O234" s="253"/>
      <c r="P234" s="253"/>
      <c r="Q234" s="253"/>
      <c r="R234" s="253"/>
      <c r="S234" s="253"/>
    </row>
    <row r="235" spans="1:19" s="2" customFormat="1" ht="16.5" x14ac:dyDescent="0.3">
      <c r="A235" s="223"/>
      <c r="B235" s="223"/>
      <c r="C235" s="255" t="str">
        <f>"Итого в "&amp;'Бюджет на запуск'!$H$3</f>
        <v>Итого в RUB</v>
      </c>
      <c r="D235" s="229" t="str">
        <f>'Бюджет на запуск'!$H$3</f>
        <v>RUB</v>
      </c>
      <c r="E235" s="230">
        <f ca="1">SUM(H235:S235)</f>
        <v>31958333.02732515</v>
      </c>
      <c r="F235" s="254"/>
      <c r="G235" s="232"/>
      <c r="H235" s="237">
        <f ca="1">SUMIF($D$40:$D$130,$D235,H$135:H$225)</f>
        <v>2701972.6687067836</v>
      </c>
      <c r="I235" s="237">
        <f t="shared" ref="I235:S235" ca="1" si="76">SUMIF($D$40:$D$130,$D235,I$135:I$225)</f>
        <v>1879943.9225131713</v>
      </c>
      <c r="J235" s="237">
        <f t="shared" ca="1" si="76"/>
        <v>4724269.2400408061</v>
      </c>
      <c r="K235" s="237">
        <f t="shared" ca="1" si="76"/>
        <v>1987863.8397663075</v>
      </c>
      <c r="L235" s="237">
        <f t="shared" ca="1" si="76"/>
        <v>3448151.3535080198</v>
      </c>
      <c r="M235" s="237">
        <f t="shared" ca="1" si="76"/>
        <v>11487349.377350921</v>
      </c>
      <c r="N235" s="237">
        <f t="shared" ca="1" si="76"/>
        <v>2976396.1037499104</v>
      </c>
      <c r="O235" s="237">
        <f t="shared" ca="1" si="76"/>
        <v>545838.33832086669</v>
      </c>
      <c r="P235" s="237">
        <f t="shared" ca="1" si="76"/>
        <v>548148.02729507769</v>
      </c>
      <c r="Q235" s="237">
        <f t="shared" ca="1" si="76"/>
        <v>550467.48960835789</v>
      </c>
      <c r="R235" s="237">
        <f t="shared" ca="1" si="76"/>
        <v>552796.76661612745</v>
      </c>
      <c r="S235" s="237">
        <f t="shared" ca="1" si="76"/>
        <v>555135.89984879922</v>
      </c>
    </row>
    <row r="236" spans="1:19" s="65" customFormat="1" ht="6" x14ac:dyDescent="0.15">
      <c r="A236" s="257"/>
      <c r="B236" s="257"/>
      <c r="C236" s="258"/>
      <c r="D236" s="259"/>
      <c r="E236" s="260"/>
      <c r="F236" s="261"/>
      <c r="G236" s="262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63"/>
      <c r="S236" s="263"/>
    </row>
    <row r="237" spans="1:19" s="2" customFormat="1" ht="16.5" x14ac:dyDescent="0.3">
      <c r="A237" s="223"/>
      <c r="B237" s="223"/>
      <c r="C237" s="255" t="str">
        <f>"Итого в "&amp;'Приветствие !'!$O$25</f>
        <v>Итого в AED</v>
      </c>
      <c r="D237" s="229" t="str">
        <f>'Приветствие !'!$O$25</f>
        <v>AED</v>
      </c>
      <c r="E237" s="230">
        <f>SUM(H237:S237)</f>
        <v>393051.38923748443</v>
      </c>
      <c r="F237" s="254"/>
      <c r="G237" s="232"/>
      <c r="H237" s="237">
        <f>SUMIF($D$40:$D$130,$D237,H$135:H$225)/H17</f>
        <v>104815.68332909378</v>
      </c>
      <c r="I237" s="237">
        <f t="shared" ref="I237:S237" si="77">SUMIF($D$40:$D$130,$D237,I$135:I$225)/I17</f>
        <v>19707.794274233951</v>
      </c>
      <c r="J237" s="237">
        <f t="shared" si="77"/>
        <v>113536.88357892503</v>
      </c>
      <c r="K237" s="237">
        <f t="shared" si="77"/>
        <v>26483.764144379165</v>
      </c>
      <c r="L237" s="237">
        <f t="shared" si="77"/>
        <v>114752.46175450915</v>
      </c>
      <c r="M237" s="237">
        <f t="shared" si="77"/>
        <v>13610.285226459375</v>
      </c>
      <c r="N237" s="237">
        <f t="shared" si="77"/>
        <v>144.51692988395615</v>
      </c>
      <c r="O237" s="237">
        <f t="shared" si="77"/>
        <v>0</v>
      </c>
      <c r="P237" s="237">
        <f t="shared" si="77"/>
        <v>0</v>
      </c>
      <c r="Q237" s="237">
        <f t="shared" si="77"/>
        <v>0</v>
      </c>
      <c r="R237" s="237">
        <f t="shared" si="77"/>
        <v>0</v>
      </c>
      <c r="S237" s="237">
        <f t="shared" si="77"/>
        <v>0</v>
      </c>
    </row>
    <row r="238" spans="1:19" s="65" customFormat="1" ht="6" x14ac:dyDescent="0.15">
      <c r="A238" s="257"/>
      <c r="B238" s="257"/>
      <c r="C238" s="258"/>
      <c r="D238" s="259"/>
      <c r="E238" s="260"/>
      <c r="F238" s="261"/>
      <c r="G238" s="262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  <c r="R238" s="263"/>
      <c r="S238" s="263"/>
    </row>
    <row r="239" spans="1:19" s="2" customFormat="1" ht="16.5" x14ac:dyDescent="0.3">
      <c r="A239" s="223"/>
      <c r="B239" s="223"/>
      <c r="C239" s="255" t="str">
        <f>"Итого в "&amp;'Приветствие !'!$O$26</f>
        <v>Итого в USD</v>
      </c>
      <c r="D239" s="229" t="str">
        <f>'Приветствие !'!$O$26</f>
        <v>USD</v>
      </c>
      <c r="E239" s="230">
        <f>SUM(H239:S239)</f>
        <v>57843.528541347456</v>
      </c>
      <c r="F239" s="254"/>
      <c r="G239" s="232"/>
      <c r="H239" s="237">
        <f>SUMIF($D$40:$D$130,$D239,H$135:H$225)/H18</f>
        <v>3004.954743905761</v>
      </c>
      <c r="I239" s="237">
        <f t="shared" ref="I239:S239" si="78">SUMIF($D$40:$D$130,$D239,I$135:I$225)/I18</f>
        <v>4514.8765064608679</v>
      </c>
      <c r="J239" s="237">
        <f t="shared" si="78"/>
        <v>5401.6757572059705</v>
      </c>
      <c r="K239" s="237">
        <f t="shared" si="78"/>
        <v>5410.5970638856079</v>
      </c>
      <c r="L239" s="237">
        <f t="shared" si="78"/>
        <v>8091.4889611626204</v>
      </c>
      <c r="M239" s="237">
        <f t="shared" si="78"/>
        <v>6286.9418241303956</v>
      </c>
      <c r="N239" s="237">
        <f t="shared" si="78"/>
        <v>5058.0925459384653</v>
      </c>
      <c r="O239" s="237">
        <f t="shared" si="78"/>
        <v>4306.479437459112</v>
      </c>
      <c r="P239" s="237">
        <f t="shared" si="78"/>
        <v>4313.5919383751216</v>
      </c>
      <c r="Q239" s="237">
        <f t="shared" si="78"/>
        <v>4320.7161861646555</v>
      </c>
      <c r="R239" s="237">
        <f t="shared" si="78"/>
        <v>3564.1135766588714</v>
      </c>
      <c r="S239" s="237">
        <f t="shared" si="78"/>
        <v>3570.0000000000009</v>
      </c>
    </row>
    <row r="240" spans="1:19" s="65" customFormat="1" ht="6" x14ac:dyDescent="0.15">
      <c r="A240" s="257"/>
      <c r="B240" s="257"/>
      <c r="C240" s="258"/>
      <c r="D240" s="259"/>
      <c r="E240" s="260"/>
      <c r="F240" s="261"/>
      <c r="G240" s="262"/>
      <c r="H240" s="263"/>
      <c r="I240" s="263"/>
      <c r="J240" s="263"/>
      <c r="K240" s="263"/>
      <c r="L240" s="263"/>
      <c r="M240" s="263"/>
      <c r="N240" s="263"/>
      <c r="O240" s="263"/>
      <c r="P240" s="263"/>
      <c r="Q240" s="263"/>
      <c r="R240" s="263"/>
      <c r="S240" s="263"/>
    </row>
    <row r="241" spans="1:19" s="2" customFormat="1" ht="16.5" x14ac:dyDescent="0.3">
      <c r="A241" s="223"/>
      <c r="B241" s="223"/>
      <c r="C241" s="255" t="str">
        <f>"Итого в "&amp;'Приветствие !'!$O$27</f>
        <v>Итого в CNY</v>
      </c>
      <c r="D241" s="229" t="str">
        <f>'Приветствие !'!$O$27</f>
        <v>CNY</v>
      </c>
      <c r="E241" s="230">
        <f>SUM(H241:S241)</f>
        <v>252349.30938200117</v>
      </c>
      <c r="F241" s="254"/>
      <c r="G241" s="223"/>
      <c r="H241" s="237">
        <f>SUMIF($D$40:$D$130,$D241,H$135:H$225)/H19</f>
        <v>0</v>
      </c>
      <c r="I241" s="237">
        <f t="shared" ref="I241:S241" si="79">SUMIF($D$40:$D$130,$D241,I$135:I$225)/I19</f>
        <v>0</v>
      </c>
      <c r="J241" s="237">
        <f t="shared" si="79"/>
        <v>0</v>
      </c>
      <c r="K241" s="237">
        <f t="shared" si="79"/>
        <v>83885.225796676081</v>
      </c>
      <c r="L241" s="237">
        <f t="shared" si="79"/>
        <v>0</v>
      </c>
      <c r="M241" s="237">
        <f t="shared" si="79"/>
        <v>84162.54115301733</v>
      </c>
      <c r="N241" s="237">
        <f t="shared" si="79"/>
        <v>84301.542432307746</v>
      </c>
      <c r="O241" s="237">
        <f t="shared" si="79"/>
        <v>0</v>
      </c>
      <c r="P241" s="237">
        <f t="shared" si="79"/>
        <v>0</v>
      </c>
      <c r="Q241" s="237">
        <f t="shared" si="79"/>
        <v>0</v>
      </c>
      <c r="R241" s="237">
        <f t="shared" si="79"/>
        <v>0</v>
      </c>
      <c r="S241" s="237">
        <f t="shared" si="79"/>
        <v>0</v>
      </c>
    </row>
    <row r="242" spans="1:19" s="2" customFormat="1" ht="16.5" x14ac:dyDescent="0.3">
      <c r="A242" s="223"/>
      <c r="B242" s="223"/>
      <c r="C242" s="255"/>
      <c r="D242" s="194"/>
      <c r="E242" s="235"/>
      <c r="F242" s="254"/>
      <c r="G242" s="223"/>
      <c r="H242" s="253"/>
      <c r="I242" s="253"/>
      <c r="J242" s="253"/>
      <c r="K242" s="253"/>
      <c r="L242" s="253"/>
      <c r="M242" s="253"/>
      <c r="N242" s="253"/>
      <c r="O242" s="253"/>
      <c r="P242" s="253"/>
      <c r="Q242" s="253"/>
      <c r="R242" s="253"/>
      <c r="S242" s="253"/>
    </row>
    <row r="243" spans="1:19" s="2" customFormat="1" ht="16.5" x14ac:dyDescent="0.3">
      <c r="A243" s="238"/>
      <c r="B243" s="238"/>
      <c r="C243" s="255" t="s">
        <v>29</v>
      </c>
      <c r="D243" s="242" t="s">
        <v>12</v>
      </c>
      <c r="E243" s="264">
        <f ca="1">SUM(H243:S243)</f>
        <v>49522923.766844958</v>
      </c>
      <c r="F243" s="223"/>
      <c r="G243" s="223"/>
      <c r="H243" s="265">
        <f ca="1">SUM(H135:H225)</f>
        <v>5480737.7722824691</v>
      </c>
      <c r="I243" s="265">
        <f t="shared" ref="I243:S243" ca="1" si="80">SUM(I135:I225)</f>
        <v>2750350.0226571569</v>
      </c>
      <c r="J243" s="265">
        <f t="shared" ca="1" si="80"/>
        <v>7923338.0075716246</v>
      </c>
      <c r="K243" s="265">
        <f t="shared" ca="1" si="80"/>
        <v>4110824.5048990287</v>
      </c>
      <c r="L243" s="265">
        <f t="shared" ca="1" si="80"/>
        <v>6913314.6065866966</v>
      </c>
      <c r="M243" s="265">
        <f t="shared" ca="1" si="80"/>
        <v>13382069.358825352</v>
      </c>
      <c r="N243" s="265">
        <f t="shared" ca="1" si="80"/>
        <v>4441561.1407522336</v>
      </c>
      <c r="O243" s="265">
        <f t="shared" ca="1" si="80"/>
        <v>925184.05382421496</v>
      </c>
      <c r="P243" s="265">
        <f t="shared" ca="1" si="80"/>
        <v>928120.2630891148</v>
      </c>
      <c r="Q243" s="265">
        <f t="shared" ca="1" si="80"/>
        <v>931067.28044228104</v>
      </c>
      <c r="R243" s="265">
        <f t="shared" ca="1" si="80"/>
        <v>866749.55206599273</v>
      </c>
      <c r="S243" s="265">
        <f t="shared" ca="1" si="80"/>
        <v>869607.20384879922</v>
      </c>
    </row>
    <row r="244" spans="1:19" s="2" customFormat="1" ht="16.5" x14ac:dyDescent="0.3">
      <c r="A244" s="238"/>
      <c r="B244" s="238"/>
      <c r="C244" s="266" t="s">
        <v>28</v>
      </c>
      <c r="D244" s="194" t="s">
        <v>12</v>
      </c>
      <c r="E244" s="264">
        <f ca="1">SUM(H244:S244)</f>
        <v>1299756.9585325501</v>
      </c>
      <c r="F244" s="228"/>
      <c r="G244" s="267"/>
      <c r="H244" s="248">
        <f ca="1">IFERROR(SUMPRODUCT(H135:H210*$F135:$F210/(1+$F135:$F210))+SUMPRODUCT(H217:H218*$F217:$F218/(1+$F217:$F218)),0)</f>
        <v>107526.67686383848</v>
      </c>
      <c r="I244" s="248">
        <f t="shared" ref="I244:S244" ca="1" si="81">IFERROR(SUMPRODUCT(I135:I210*$F135:$F210/(1+$F135:$F210))+SUMPRODUCT(I217:I218*$F217:$F218/(1+$F217:$F218)),0)</f>
        <v>48121.141896468849</v>
      </c>
      <c r="J244" s="248">
        <f t="shared" ca="1" si="81"/>
        <v>113108.37413364495</v>
      </c>
      <c r="K244" s="248">
        <f t="shared" ca="1" si="81"/>
        <v>173860.60803976029</v>
      </c>
      <c r="L244" s="248">
        <f t="shared" ca="1" si="81"/>
        <v>133492.27263966625</v>
      </c>
      <c r="M244" s="248">
        <f t="shared" ca="1" si="81"/>
        <v>576232.55812614167</v>
      </c>
      <c r="N244" s="248">
        <f t="shared" ca="1" si="81"/>
        <v>135585.58533579795</v>
      </c>
      <c r="O244" s="248">
        <f t="shared" ca="1" si="81"/>
        <v>2346.0100500896856</v>
      </c>
      <c r="P244" s="248">
        <f t="shared" ca="1" si="81"/>
        <v>2355.9370800648035</v>
      </c>
      <c r="Q244" s="248">
        <f t="shared" ca="1" si="81"/>
        <v>2365.9061157952351</v>
      </c>
      <c r="R244" s="248">
        <f t="shared" ca="1" si="81"/>
        <v>2375.9173350263359</v>
      </c>
      <c r="S244" s="248">
        <f t="shared" ca="1" si="81"/>
        <v>2385.9709162555841</v>
      </c>
    </row>
    <row r="245" spans="1:19" s="2" customFormat="1" ht="16.5" x14ac:dyDescent="0.3">
      <c r="A245" s="238"/>
      <c r="B245" s="238"/>
      <c r="C245" s="255" t="s">
        <v>27</v>
      </c>
      <c r="D245" s="242" t="s">
        <v>12</v>
      </c>
      <c r="E245" s="264">
        <f ca="1">SUM(H245:S245)</f>
        <v>48223166.808312409</v>
      </c>
      <c r="F245" s="223"/>
      <c r="G245" s="268"/>
      <c r="H245" s="265">
        <f ca="1">IFERROR(H243-H244,"")</f>
        <v>5373211.0954186302</v>
      </c>
      <c r="I245" s="265">
        <f t="shared" ref="I245:S245" ca="1" si="82">IFERROR(I243-I244,"")</f>
        <v>2702228.8807606879</v>
      </c>
      <c r="J245" s="265">
        <f t="shared" ca="1" si="82"/>
        <v>7810229.63343798</v>
      </c>
      <c r="K245" s="265">
        <f t="shared" ca="1" si="82"/>
        <v>3936963.8968592682</v>
      </c>
      <c r="L245" s="265">
        <f t="shared" ca="1" si="82"/>
        <v>6779822.3339470299</v>
      </c>
      <c r="M245" s="265">
        <f t="shared" ca="1" si="82"/>
        <v>12805836.80069921</v>
      </c>
      <c r="N245" s="265">
        <f t="shared" ca="1" si="82"/>
        <v>4305975.5554164359</v>
      </c>
      <c r="O245" s="265">
        <f t="shared" ca="1" si="82"/>
        <v>922838.04377412528</v>
      </c>
      <c r="P245" s="265">
        <f t="shared" ca="1" si="82"/>
        <v>925764.32600905001</v>
      </c>
      <c r="Q245" s="265">
        <f t="shared" ca="1" si="82"/>
        <v>928701.37432648579</v>
      </c>
      <c r="R245" s="265">
        <f t="shared" ca="1" si="82"/>
        <v>864373.63473096641</v>
      </c>
      <c r="S245" s="265">
        <f t="shared" ca="1" si="82"/>
        <v>867221.23293254361</v>
      </c>
    </row>
    <row r="246" spans="1:19" s="65" customFormat="1" ht="6" x14ac:dyDescent="0.15">
      <c r="A246" s="269"/>
      <c r="B246" s="269"/>
      <c r="C246" s="258"/>
      <c r="D246" s="270"/>
      <c r="E246" s="271"/>
      <c r="F246" s="257"/>
      <c r="G246" s="272"/>
      <c r="H246" s="273"/>
      <c r="I246" s="273"/>
      <c r="J246" s="273"/>
      <c r="K246" s="273"/>
      <c r="L246" s="273"/>
      <c r="M246" s="273"/>
      <c r="N246" s="273"/>
      <c r="O246" s="273"/>
      <c r="P246" s="273"/>
      <c r="Q246" s="273"/>
      <c r="R246" s="273"/>
      <c r="S246" s="273"/>
    </row>
    <row r="247" spans="1:19" x14ac:dyDescent="0.25">
      <c r="A247" s="238"/>
      <c r="B247" s="238"/>
      <c r="C247" s="274"/>
      <c r="D247" s="274"/>
      <c r="E247" s="275" t="s">
        <v>139</v>
      </c>
      <c r="F247" s="276"/>
      <c r="G247" s="277" t="str">
        <f ca="1">IF(SUM(H247:S247)=0,"ok","ошибка!")</f>
        <v>ok</v>
      </c>
      <c r="H247" s="278">
        <f ca="1">SUM(H227:H233)-H243</f>
        <v>0</v>
      </c>
      <c r="I247" s="278">
        <f t="shared" ref="I247:S247" ca="1" si="83">SUM(I227:I233)-I243</f>
        <v>0</v>
      </c>
      <c r="J247" s="278">
        <f t="shared" ca="1" si="83"/>
        <v>0</v>
      </c>
      <c r="K247" s="278">
        <f t="shared" ca="1" si="83"/>
        <v>0</v>
      </c>
      <c r="L247" s="278">
        <f t="shared" ca="1" si="83"/>
        <v>0</v>
      </c>
      <c r="M247" s="278">
        <f t="shared" ca="1" si="83"/>
        <v>0</v>
      </c>
      <c r="N247" s="278">
        <f t="shared" ca="1" si="83"/>
        <v>0</v>
      </c>
      <c r="O247" s="278">
        <f t="shared" ca="1" si="83"/>
        <v>0</v>
      </c>
      <c r="P247" s="278">
        <f t="shared" ca="1" si="83"/>
        <v>0</v>
      </c>
      <c r="Q247" s="278">
        <f t="shared" ca="1" si="83"/>
        <v>0</v>
      </c>
      <c r="R247" s="278">
        <f t="shared" ca="1" si="83"/>
        <v>0</v>
      </c>
      <c r="S247" s="278">
        <f t="shared" ca="1" si="83"/>
        <v>0</v>
      </c>
    </row>
    <row r="248" spans="1:19" x14ac:dyDescent="0.25">
      <c r="A248" s="238"/>
      <c r="B248" s="238"/>
      <c r="C248" s="274"/>
      <c r="D248" s="274"/>
      <c r="E248" s="275"/>
      <c r="F248" s="276"/>
      <c r="G248" s="277"/>
      <c r="H248" s="278"/>
      <c r="I248" s="278"/>
      <c r="J248" s="278"/>
      <c r="K248" s="278"/>
      <c r="L248" s="278"/>
      <c r="M248" s="278"/>
      <c r="N248" s="278"/>
      <c r="O248" s="278"/>
      <c r="P248" s="278"/>
      <c r="Q248" s="278"/>
      <c r="R248" s="278"/>
      <c r="S248" s="278"/>
    </row>
    <row r="249" spans="1:19" s="8" customFormat="1" ht="15" customHeight="1" x14ac:dyDescent="0.25">
      <c r="A249" s="197"/>
      <c r="B249" s="197">
        <f>MAX($B$1:B248,0)+1</f>
        <v>5</v>
      </c>
      <c r="C249" s="198" t="s">
        <v>313</v>
      </c>
      <c r="D249" s="199"/>
      <c r="E249" s="196"/>
      <c r="F249" s="199"/>
      <c r="G249" s="199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</row>
    <row r="250" spans="1:19" s="154" customFormat="1" x14ac:dyDescent="0.25">
      <c r="A250" s="279"/>
      <c r="B250" s="279"/>
      <c r="C250" s="280"/>
      <c r="D250" s="281"/>
      <c r="E250" s="279"/>
      <c r="F250" s="279"/>
      <c r="G250" s="279"/>
      <c r="H250" s="279"/>
      <c r="I250" s="279"/>
      <c r="J250" s="279"/>
      <c r="K250" s="279"/>
      <c r="L250" s="279"/>
      <c r="M250" s="279"/>
      <c r="N250" s="279"/>
      <c r="O250" s="279"/>
      <c r="P250" s="279"/>
      <c r="Q250" s="279"/>
      <c r="R250" s="279"/>
      <c r="S250" s="279"/>
    </row>
    <row r="251" spans="1:19" s="154" customFormat="1" ht="15.75" x14ac:dyDescent="0.25">
      <c r="A251" s="279"/>
      <c r="B251" s="279"/>
      <c r="C251" s="282" t="s">
        <v>314</v>
      </c>
      <c r="D251" s="281"/>
      <c r="E251" s="279"/>
      <c r="F251" s="279"/>
      <c r="G251" s="279"/>
      <c r="H251" s="283">
        <f ca="1">IF(SUM(H252:H271)&gt;0,1,0)</f>
        <v>1</v>
      </c>
      <c r="I251" s="283">
        <f t="shared" ref="I251:S251" ca="1" si="84">IF(SUM(I252:I271)&gt;0,1,0)</f>
        <v>1</v>
      </c>
      <c r="J251" s="283">
        <f t="shared" ca="1" si="84"/>
        <v>1</v>
      </c>
      <c r="K251" s="283">
        <f t="shared" ca="1" si="84"/>
        <v>1</v>
      </c>
      <c r="L251" s="283">
        <f t="shared" ca="1" si="84"/>
        <v>1</v>
      </c>
      <c r="M251" s="283">
        <f t="shared" ca="1" si="84"/>
        <v>1</v>
      </c>
      <c r="N251" s="283">
        <f t="shared" ca="1" si="84"/>
        <v>1</v>
      </c>
      <c r="O251" s="283">
        <f t="shared" ca="1" si="84"/>
        <v>0</v>
      </c>
      <c r="P251" s="283">
        <f t="shared" ca="1" si="84"/>
        <v>0</v>
      </c>
      <c r="Q251" s="283">
        <f t="shared" ca="1" si="84"/>
        <v>0</v>
      </c>
      <c r="R251" s="283">
        <f t="shared" ca="1" si="84"/>
        <v>0</v>
      </c>
      <c r="S251" s="283">
        <f t="shared" ca="1" si="84"/>
        <v>0</v>
      </c>
    </row>
    <row r="252" spans="1:19" s="154" customFormat="1" x14ac:dyDescent="0.25">
      <c r="A252" s="279"/>
      <c r="B252" s="279"/>
      <c r="C252" s="284" t="s">
        <v>18</v>
      </c>
      <c r="D252" s="285" t="s">
        <v>12</v>
      </c>
      <c r="E252" s="248">
        <f t="shared" ref="E252:E271" ca="1" si="85">SUM(H252:S252)</f>
        <v>1206627.730883104</v>
      </c>
      <c r="F252" s="286"/>
      <c r="G252" s="286"/>
      <c r="H252" s="248">
        <f ca="1">SUM(H135:H138)</f>
        <v>60063.035421188353</v>
      </c>
      <c r="I252" s="248">
        <f t="shared" ref="I252:S252" ca="1" si="86">SUM(I135:I138)</f>
        <v>180486.70322227964</v>
      </c>
      <c r="J252" s="248">
        <f t="shared" ca="1" si="86"/>
        <v>261133.58799170755</v>
      </c>
      <c r="K252" s="248">
        <f t="shared" ca="1" si="86"/>
        <v>342046.37021768815</v>
      </c>
      <c r="L252" s="248">
        <f t="shared" ca="1" si="86"/>
        <v>282150.47214704769</v>
      </c>
      <c r="M252" s="248">
        <f t="shared" ca="1" si="86"/>
        <v>80747.561883192524</v>
      </c>
      <c r="N252" s="248">
        <f t="shared" ca="1" si="86"/>
        <v>0</v>
      </c>
      <c r="O252" s="248">
        <f t="shared" ca="1" si="86"/>
        <v>0</v>
      </c>
      <c r="P252" s="248">
        <f t="shared" ca="1" si="86"/>
        <v>0</v>
      </c>
      <c r="Q252" s="248">
        <f t="shared" ca="1" si="86"/>
        <v>0</v>
      </c>
      <c r="R252" s="248">
        <f t="shared" ca="1" si="86"/>
        <v>0</v>
      </c>
      <c r="S252" s="248">
        <f t="shared" ca="1" si="86"/>
        <v>0</v>
      </c>
    </row>
    <row r="253" spans="1:19" s="154" customFormat="1" x14ac:dyDescent="0.25">
      <c r="A253" s="279"/>
      <c r="B253" s="279"/>
      <c r="C253" s="284" t="s">
        <v>140</v>
      </c>
      <c r="D253" s="285" t="s">
        <v>12</v>
      </c>
      <c r="E253" s="248">
        <f t="shared" ca="1" si="85"/>
        <v>10208811.434158018</v>
      </c>
      <c r="F253" s="286"/>
      <c r="G253" s="286"/>
      <c r="H253" s="248">
        <f ca="1">SUM(H139:H142)</f>
        <v>1256965.3278315889</v>
      </c>
      <c r="I253" s="248">
        <f t="shared" ref="I253:S253" ca="1" si="87">SUM(I139:I142)</f>
        <v>1263969.4682966191</v>
      </c>
      <c r="J253" s="248">
        <f t="shared" ca="1" si="87"/>
        <v>2965696.1545616142</v>
      </c>
      <c r="K253" s="248">
        <f t="shared" ca="1" si="87"/>
        <v>1278095.0534288303</v>
      </c>
      <c r="L253" s="248">
        <f t="shared" ca="1" si="87"/>
        <v>1713622.5790219756</v>
      </c>
      <c r="M253" s="248">
        <f t="shared" ca="1" si="87"/>
        <v>0</v>
      </c>
      <c r="N253" s="248">
        <f t="shared" ca="1" si="87"/>
        <v>1730462.8510173897</v>
      </c>
      <c r="O253" s="248">
        <f t="shared" ca="1" si="87"/>
        <v>0</v>
      </c>
      <c r="P253" s="248">
        <f t="shared" ca="1" si="87"/>
        <v>0</v>
      </c>
      <c r="Q253" s="248">
        <f t="shared" ca="1" si="87"/>
        <v>0</v>
      </c>
      <c r="R253" s="248">
        <f t="shared" ca="1" si="87"/>
        <v>0</v>
      </c>
      <c r="S253" s="248">
        <f t="shared" ca="1" si="87"/>
        <v>0</v>
      </c>
    </row>
    <row r="254" spans="1:19" s="154" customFormat="1" x14ac:dyDescent="0.25">
      <c r="A254" s="279"/>
      <c r="B254" s="279"/>
      <c r="C254" s="284" t="s">
        <v>42</v>
      </c>
      <c r="D254" s="285" t="s">
        <v>12</v>
      </c>
      <c r="E254" s="248">
        <f t="shared" ca="1" si="85"/>
        <v>507004.24872263015</v>
      </c>
      <c r="F254" s="286"/>
      <c r="G254" s="286"/>
      <c r="H254" s="248">
        <f ca="1">SUM(H143:H146)</f>
        <v>125696.53278315889</v>
      </c>
      <c r="I254" s="248">
        <f t="shared" ref="I254:S254" ca="1" si="88">SUM(I143:I146)</f>
        <v>126396.9468296619</v>
      </c>
      <c r="J254" s="248">
        <f t="shared" ca="1" si="88"/>
        <v>127101.26376692632</v>
      </c>
      <c r="K254" s="248">
        <f t="shared" ca="1" si="88"/>
        <v>127809.50534288304</v>
      </c>
      <c r="L254" s="248">
        <f t="shared" ca="1" si="88"/>
        <v>0</v>
      </c>
      <c r="M254" s="248">
        <f t="shared" ca="1" si="88"/>
        <v>0</v>
      </c>
      <c r="N254" s="248">
        <f t="shared" ca="1" si="88"/>
        <v>0</v>
      </c>
      <c r="O254" s="248">
        <f t="shared" ca="1" si="88"/>
        <v>0</v>
      </c>
      <c r="P254" s="248">
        <f t="shared" ca="1" si="88"/>
        <v>0</v>
      </c>
      <c r="Q254" s="248">
        <f t="shared" ca="1" si="88"/>
        <v>0</v>
      </c>
      <c r="R254" s="248">
        <f t="shared" ca="1" si="88"/>
        <v>0</v>
      </c>
      <c r="S254" s="248">
        <f t="shared" ca="1" si="88"/>
        <v>0</v>
      </c>
    </row>
    <row r="255" spans="1:19" s="154" customFormat="1" x14ac:dyDescent="0.25">
      <c r="A255" s="279"/>
      <c r="B255" s="279"/>
      <c r="C255" s="284" t="s">
        <v>141</v>
      </c>
      <c r="D255" s="285" t="s">
        <v>12</v>
      </c>
      <c r="E255" s="248">
        <f t="shared" ca="1" si="85"/>
        <v>25847.570001839649</v>
      </c>
      <c r="F255" s="286"/>
      <c r="G255" s="286"/>
      <c r="H255" s="248">
        <f ca="1">SUM(H147:H150)</f>
        <v>0</v>
      </c>
      <c r="I255" s="248">
        <f t="shared" ref="I255:S255" ca="1" si="89">SUM(I147:I150)</f>
        <v>0</v>
      </c>
      <c r="J255" s="248">
        <f t="shared" ca="1" si="89"/>
        <v>0</v>
      </c>
      <c r="K255" s="248">
        <f t="shared" ca="1" si="89"/>
        <v>0</v>
      </c>
      <c r="L255" s="248">
        <f t="shared" ca="1" si="89"/>
        <v>0</v>
      </c>
      <c r="M255" s="248">
        <f t="shared" ca="1" si="89"/>
        <v>25847.570001839649</v>
      </c>
      <c r="N255" s="248">
        <f t="shared" ca="1" si="89"/>
        <v>0</v>
      </c>
      <c r="O255" s="248">
        <f t="shared" ca="1" si="89"/>
        <v>0</v>
      </c>
      <c r="P255" s="248">
        <f t="shared" ca="1" si="89"/>
        <v>0</v>
      </c>
      <c r="Q255" s="248">
        <f t="shared" ca="1" si="89"/>
        <v>0</v>
      </c>
      <c r="R255" s="248">
        <f t="shared" ca="1" si="89"/>
        <v>0</v>
      </c>
      <c r="S255" s="248">
        <f t="shared" ca="1" si="89"/>
        <v>0</v>
      </c>
    </row>
    <row r="256" spans="1:19" s="154" customFormat="1" x14ac:dyDescent="0.25">
      <c r="A256" s="279"/>
      <c r="B256" s="279"/>
      <c r="C256" s="284" t="s">
        <v>137</v>
      </c>
      <c r="D256" s="285" t="s">
        <v>12</v>
      </c>
      <c r="E256" s="248">
        <f t="shared" ca="1" si="85"/>
        <v>5385599.6855833093</v>
      </c>
      <c r="F256" s="286"/>
      <c r="G256" s="286"/>
      <c r="H256" s="248">
        <f ca="1">SUM(H151:H154)</f>
        <v>0</v>
      </c>
      <c r="I256" s="248">
        <f t="shared" ref="I256:S256" ca="1" si="90">SUM(I151:I154)</f>
        <v>0</v>
      </c>
      <c r="J256" s="248">
        <f t="shared" ca="1" si="90"/>
        <v>0</v>
      </c>
      <c r="K256" s="248">
        <f t="shared" ca="1" si="90"/>
        <v>0</v>
      </c>
      <c r="L256" s="248">
        <f t="shared" ca="1" si="90"/>
        <v>0</v>
      </c>
      <c r="M256" s="248">
        <f t="shared" ca="1" si="90"/>
        <v>5385599.6855833093</v>
      </c>
      <c r="N256" s="248">
        <f t="shared" ca="1" si="90"/>
        <v>0</v>
      </c>
      <c r="O256" s="248">
        <f t="shared" ca="1" si="90"/>
        <v>0</v>
      </c>
      <c r="P256" s="248">
        <f t="shared" ca="1" si="90"/>
        <v>0</v>
      </c>
      <c r="Q256" s="248">
        <f t="shared" ca="1" si="90"/>
        <v>0</v>
      </c>
      <c r="R256" s="248">
        <f t="shared" ca="1" si="90"/>
        <v>0</v>
      </c>
      <c r="S256" s="248">
        <f t="shared" ca="1" si="90"/>
        <v>0</v>
      </c>
    </row>
    <row r="257" spans="1:19" s="154" customFormat="1" x14ac:dyDescent="0.25">
      <c r="A257" s="279"/>
      <c r="B257" s="279"/>
      <c r="C257" s="284" t="s">
        <v>135</v>
      </c>
      <c r="D257" s="285" t="s">
        <v>12</v>
      </c>
      <c r="E257" s="248">
        <f t="shared" ca="1" si="85"/>
        <v>1744710.9751241764</v>
      </c>
      <c r="F257" s="286"/>
      <c r="G257" s="286"/>
      <c r="H257" s="248">
        <f ca="1">SUM(H155:H158)</f>
        <v>0</v>
      </c>
      <c r="I257" s="248">
        <f t="shared" ref="I257:S257" ca="1" si="91">SUM(I155:I158)</f>
        <v>0</v>
      </c>
      <c r="J257" s="248">
        <f t="shared" ca="1" si="91"/>
        <v>0</v>
      </c>
      <c r="K257" s="248">
        <f t="shared" ca="1" si="91"/>
        <v>0</v>
      </c>
      <c r="L257" s="248">
        <f t="shared" ca="1" si="91"/>
        <v>0</v>
      </c>
      <c r="M257" s="248">
        <f t="shared" ca="1" si="91"/>
        <v>1744710.9751241764</v>
      </c>
      <c r="N257" s="248">
        <f t="shared" ca="1" si="91"/>
        <v>0</v>
      </c>
      <c r="O257" s="248">
        <f t="shared" ca="1" si="91"/>
        <v>0</v>
      </c>
      <c r="P257" s="248">
        <f t="shared" ca="1" si="91"/>
        <v>0</v>
      </c>
      <c r="Q257" s="248">
        <f t="shared" ca="1" si="91"/>
        <v>0</v>
      </c>
      <c r="R257" s="248">
        <f t="shared" ca="1" si="91"/>
        <v>0</v>
      </c>
      <c r="S257" s="248">
        <f t="shared" ca="1" si="91"/>
        <v>0</v>
      </c>
    </row>
    <row r="258" spans="1:19" s="154" customFormat="1" x14ac:dyDescent="0.25">
      <c r="A258" s="279"/>
      <c r="B258" s="279"/>
      <c r="C258" s="284" t="s">
        <v>136</v>
      </c>
      <c r="D258" s="285" t="s">
        <v>12</v>
      </c>
      <c r="E258" s="248">
        <f t="shared" ca="1" si="85"/>
        <v>3041742.8704978274</v>
      </c>
      <c r="F258" s="286"/>
      <c r="G258" s="286"/>
      <c r="H258" s="248">
        <f ca="1">SUM(H159:H162)</f>
        <v>0</v>
      </c>
      <c r="I258" s="248">
        <f t="shared" ref="I258:S258" ca="1" si="92">SUM(I159:I162)</f>
        <v>0</v>
      </c>
      <c r="J258" s="248">
        <f t="shared" ca="1" si="92"/>
        <v>0</v>
      </c>
      <c r="K258" s="248">
        <f t="shared" ca="1" si="92"/>
        <v>1011127.3461853944</v>
      </c>
      <c r="L258" s="248">
        <f t="shared" ca="1" si="92"/>
        <v>0</v>
      </c>
      <c r="M258" s="248">
        <f t="shared" ca="1" si="92"/>
        <v>1014470.022296125</v>
      </c>
      <c r="N258" s="248">
        <f t="shared" ca="1" si="92"/>
        <v>1016145.5020163078</v>
      </c>
      <c r="O258" s="248">
        <f t="shared" ca="1" si="92"/>
        <v>0</v>
      </c>
      <c r="P258" s="248">
        <f t="shared" ca="1" si="92"/>
        <v>0</v>
      </c>
      <c r="Q258" s="248">
        <f t="shared" ca="1" si="92"/>
        <v>0</v>
      </c>
      <c r="R258" s="248">
        <f t="shared" ca="1" si="92"/>
        <v>0</v>
      </c>
      <c r="S258" s="248">
        <f t="shared" ca="1" si="92"/>
        <v>0</v>
      </c>
    </row>
    <row r="259" spans="1:19" s="154" customFormat="1" x14ac:dyDescent="0.25">
      <c r="A259" s="279"/>
      <c r="B259" s="279"/>
      <c r="C259" s="284" t="s">
        <v>152</v>
      </c>
      <c r="D259" s="285" t="s">
        <v>12</v>
      </c>
      <c r="E259" s="248">
        <f t="shared" ca="1" si="85"/>
        <v>518045.12767100497</v>
      </c>
      <c r="F259" s="286"/>
      <c r="G259" s="286"/>
      <c r="H259" s="248">
        <f ca="1">SUM(H163:H166)</f>
        <v>0</v>
      </c>
      <c r="I259" s="248">
        <f t="shared" ref="I259:S259" ca="1" si="93">SUM(I163:I166)</f>
        <v>0</v>
      </c>
      <c r="J259" s="248">
        <f t="shared" ca="1" si="93"/>
        <v>0</v>
      </c>
      <c r="K259" s="248">
        <f t="shared" ca="1" si="93"/>
        <v>0</v>
      </c>
      <c r="L259" s="248">
        <f t="shared" ca="1" si="93"/>
        <v>0</v>
      </c>
      <c r="M259" s="248">
        <f t="shared" ca="1" si="93"/>
        <v>258475.70001839648</v>
      </c>
      <c r="N259" s="248">
        <f t="shared" ca="1" si="93"/>
        <v>259569.42765260849</v>
      </c>
      <c r="O259" s="248">
        <f t="shared" ca="1" si="93"/>
        <v>0</v>
      </c>
      <c r="P259" s="248">
        <f t="shared" ca="1" si="93"/>
        <v>0</v>
      </c>
      <c r="Q259" s="248">
        <f t="shared" ca="1" si="93"/>
        <v>0</v>
      </c>
      <c r="R259" s="248">
        <f t="shared" ca="1" si="93"/>
        <v>0</v>
      </c>
      <c r="S259" s="248">
        <f t="shared" ca="1" si="93"/>
        <v>0</v>
      </c>
    </row>
    <row r="260" spans="1:19" s="154" customFormat="1" x14ac:dyDescent="0.25">
      <c r="A260" s="279"/>
      <c r="B260" s="279"/>
      <c r="C260" s="284" t="s">
        <v>19</v>
      </c>
      <c r="D260" s="285" t="s">
        <v>12</v>
      </c>
      <c r="E260" s="248">
        <f t="shared" ca="1" si="85"/>
        <v>3983150.7266054149</v>
      </c>
      <c r="F260" s="286"/>
      <c r="G260" s="286"/>
      <c r="H260" s="248">
        <f ca="1">SUM(H167:H170)</f>
        <v>0</v>
      </c>
      <c r="I260" s="248">
        <f t="shared" ref="I260:S260" ca="1" si="94">SUM(I167:I170)</f>
        <v>0</v>
      </c>
      <c r="J260" s="248">
        <f t="shared" ca="1" si="94"/>
        <v>0</v>
      </c>
      <c r="K260" s="248">
        <f t="shared" ca="1" si="94"/>
        <v>0</v>
      </c>
      <c r="L260" s="248">
        <f t="shared" ca="1" si="94"/>
        <v>0</v>
      </c>
      <c r="M260" s="248">
        <f t="shared" ca="1" si="94"/>
        <v>3360184.1002391544</v>
      </c>
      <c r="N260" s="248">
        <f t="shared" ca="1" si="94"/>
        <v>622966.62636626035</v>
      </c>
      <c r="O260" s="248">
        <f t="shared" ca="1" si="94"/>
        <v>0</v>
      </c>
      <c r="P260" s="248">
        <f t="shared" ca="1" si="94"/>
        <v>0</v>
      </c>
      <c r="Q260" s="248">
        <f t="shared" ca="1" si="94"/>
        <v>0</v>
      </c>
      <c r="R260" s="248">
        <f t="shared" ca="1" si="94"/>
        <v>0</v>
      </c>
      <c r="S260" s="248">
        <f t="shared" ca="1" si="94"/>
        <v>0</v>
      </c>
    </row>
    <row r="261" spans="1:19" s="154" customFormat="1" x14ac:dyDescent="0.25">
      <c r="A261" s="279"/>
      <c r="B261" s="279"/>
      <c r="C261" s="284" t="s">
        <v>82</v>
      </c>
      <c r="D261" s="285" t="s">
        <v>12</v>
      </c>
      <c r="E261" s="248">
        <f t="shared" ca="1" si="85"/>
        <v>479300.71064570243</v>
      </c>
      <c r="F261" s="286"/>
      <c r="G261" s="286"/>
      <c r="H261" s="248">
        <f ca="1">SUM(H171:H174)</f>
        <v>110612.94884917983</v>
      </c>
      <c r="I261" s="248">
        <f t="shared" ref="I261:S261" ca="1" si="95">SUM(I171:I174)</f>
        <v>63198.473414830951</v>
      </c>
      <c r="J261" s="248">
        <f t="shared" ca="1" si="95"/>
        <v>63550.63188346316</v>
      </c>
      <c r="K261" s="248">
        <f t="shared" ca="1" si="95"/>
        <v>63904.752671441522</v>
      </c>
      <c r="L261" s="248">
        <f t="shared" ca="1" si="95"/>
        <v>64260.846713324092</v>
      </c>
      <c r="M261" s="248">
        <f t="shared" ca="1" si="95"/>
        <v>103390.2800073586</v>
      </c>
      <c r="N261" s="248">
        <f t="shared" ca="1" si="95"/>
        <v>10382.777106104339</v>
      </c>
      <c r="O261" s="248">
        <f t="shared" ca="1" si="95"/>
        <v>0</v>
      </c>
      <c r="P261" s="248">
        <f t="shared" ca="1" si="95"/>
        <v>0</v>
      </c>
      <c r="Q261" s="248">
        <f t="shared" ca="1" si="95"/>
        <v>0</v>
      </c>
      <c r="R261" s="248">
        <f t="shared" ca="1" si="95"/>
        <v>0</v>
      </c>
      <c r="S261" s="248">
        <f t="shared" ca="1" si="95"/>
        <v>0</v>
      </c>
    </row>
    <row r="262" spans="1:19" s="154" customFormat="1" x14ac:dyDescent="0.25">
      <c r="A262" s="279"/>
      <c r="B262" s="279"/>
      <c r="C262" s="284" t="s">
        <v>32</v>
      </c>
      <c r="D262" s="285" t="s">
        <v>12</v>
      </c>
      <c r="E262" s="248">
        <f t="shared" ca="1" si="85"/>
        <v>154655.72606150786</v>
      </c>
      <c r="F262" s="286"/>
      <c r="G262" s="286"/>
      <c r="H262" s="248">
        <f ca="1">SUM(H175:H178)</f>
        <v>0</v>
      </c>
      <c r="I262" s="248">
        <f t="shared" ref="I262:S262" ca="1" si="96">SUM(I175:I178)</f>
        <v>0</v>
      </c>
      <c r="J262" s="248">
        <f t="shared" ca="1" si="96"/>
        <v>0</v>
      </c>
      <c r="K262" s="248">
        <f t="shared" ca="1" si="96"/>
        <v>0</v>
      </c>
      <c r="L262" s="248">
        <f t="shared" ca="1" si="96"/>
        <v>77113.016055988905</v>
      </c>
      <c r="M262" s="248">
        <f t="shared" ca="1" si="96"/>
        <v>77542.710005518951</v>
      </c>
      <c r="N262" s="248">
        <f t="shared" ca="1" si="96"/>
        <v>0</v>
      </c>
      <c r="O262" s="248">
        <f t="shared" ca="1" si="96"/>
        <v>0</v>
      </c>
      <c r="P262" s="248">
        <f t="shared" ca="1" si="96"/>
        <v>0</v>
      </c>
      <c r="Q262" s="248">
        <f t="shared" ca="1" si="96"/>
        <v>0</v>
      </c>
      <c r="R262" s="248">
        <f t="shared" ca="1" si="96"/>
        <v>0</v>
      </c>
      <c r="S262" s="248">
        <f t="shared" ca="1" si="96"/>
        <v>0</v>
      </c>
    </row>
    <row r="263" spans="1:19" s="154" customFormat="1" x14ac:dyDescent="0.25">
      <c r="A263" s="279"/>
      <c r="B263" s="279"/>
      <c r="C263" s="284" t="s">
        <v>55</v>
      </c>
      <c r="D263" s="285" t="s">
        <v>12</v>
      </c>
      <c r="E263" s="248">
        <f t="shared" ca="1" si="85"/>
        <v>7835230.1934271976</v>
      </c>
      <c r="F263" s="286"/>
      <c r="G263" s="286"/>
      <c r="H263" s="248">
        <f ca="1">SUM(H179:H182)</f>
        <v>2330445.7743421071</v>
      </c>
      <c r="I263" s="248">
        <f t="shared" ref="I263:S263" ca="1" si="97">SUM(I179:I182)</f>
        <v>288778.72515564749</v>
      </c>
      <c r="J263" s="248">
        <f t="shared" ca="1" si="97"/>
        <v>2338149.9724795967</v>
      </c>
      <c r="K263" s="248">
        <f t="shared" ca="1" si="97"/>
        <v>289733.39594910061</v>
      </c>
      <c r="L263" s="248">
        <f t="shared" ca="1" si="97"/>
        <v>2345879.6398511678</v>
      </c>
      <c r="M263" s="248">
        <f t="shared" ca="1" si="97"/>
        <v>242242.68564957753</v>
      </c>
      <c r="N263" s="248">
        <f t="shared" ca="1" si="97"/>
        <v>0</v>
      </c>
      <c r="O263" s="248">
        <f t="shared" ca="1" si="97"/>
        <v>0</v>
      </c>
      <c r="P263" s="248">
        <f t="shared" ca="1" si="97"/>
        <v>0</v>
      </c>
      <c r="Q263" s="248">
        <f t="shared" ca="1" si="97"/>
        <v>0</v>
      </c>
      <c r="R263" s="248">
        <f t="shared" ca="1" si="97"/>
        <v>0</v>
      </c>
      <c r="S263" s="248">
        <f t="shared" ca="1" si="97"/>
        <v>0</v>
      </c>
    </row>
    <row r="264" spans="1:19" s="154" customFormat="1" x14ac:dyDescent="0.25">
      <c r="A264" s="279"/>
      <c r="B264" s="279"/>
      <c r="C264" s="284" t="s">
        <v>108</v>
      </c>
      <c r="D264" s="285" t="s">
        <v>12</v>
      </c>
      <c r="E264" s="248">
        <f t="shared" ca="1" si="85"/>
        <v>2141490.2557093347</v>
      </c>
      <c r="F264" s="286"/>
      <c r="G264" s="286"/>
      <c r="H264" s="248">
        <f ca="1">SUM(H183:H186)</f>
        <v>705911.7281102204</v>
      </c>
      <c r="I264" s="248">
        <f t="shared" ref="I264:S264" ca="1" si="98">SUM(I183:I186)</f>
        <v>0</v>
      </c>
      <c r="J264" s="248">
        <f t="shared" ca="1" si="98"/>
        <v>713800.69731505821</v>
      </c>
      <c r="K264" s="248">
        <f t="shared" ca="1" si="98"/>
        <v>0</v>
      </c>
      <c r="L264" s="248">
        <f t="shared" ca="1" si="98"/>
        <v>721777.83028405614</v>
      </c>
      <c r="M264" s="248">
        <f t="shared" ca="1" si="98"/>
        <v>0</v>
      </c>
      <c r="N264" s="248">
        <f t="shared" ca="1" si="98"/>
        <v>0</v>
      </c>
      <c r="O264" s="248">
        <f t="shared" ca="1" si="98"/>
        <v>0</v>
      </c>
      <c r="P264" s="248">
        <f t="shared" ca="1" si="98"/>
        <v>0</v>
      </c>
      <c r="Q264" s="248">
        <f t="shared" ca="1" si="98"/>
        <v>0</v>
      </c>
      <c r="R264" s="248">
        <f t="shared" ca="1" si="98"/>
        <v>0</v>
      </c>
      <c r="S264" s="248">
        <f t="shared" ca="1" si="98"/>
        <v>0</v>
      </c>
    </row>
    <row r="265" spans="1:19" s="154" customFormat="1" x14ac:dyDescent="0.25">
      <c r="A265" s="279"/>
      <c r="B265" s="279"/>
      <c r="C265" s="284" t="s">
        <v>33</v>
      </c>
      <c r="D265" s="285" t="s">
        <v>12</v>
      </c>
      <c r="E265" s="248">
        <f t="shared" ca="1" si="85"/>
        <v>266173.68833894772</v>
      </c>
      <c r="F265" s="286"/>
      <c r="G265" s="286"/>
      <c r="H265" s="248">
        <f ca="1">SUM(H187:H190)</f>
        <v>22058.170793114627</v>
      </c>
      <c r="I265" s="248">
        <f t="shared" ref="I265:S265" ca="1" si="99">SUM(I187:I190)</f>
        <v>22094.601655551098</v>
      </c>
      <c r="J265" s="248">
        <f t="shared" ca="1" si="99"/>
        <v>33196.639029778169</v>
      </c>
      <c r="K265" s="248">
        <f t="shared" ca="1" si="99"/>
        <v>33251.465978086344</v>
      </c>
      <c r="L265" s="248">
        <f t="shared" ca="1" si="99"/>
        <v>68833.192520284865</v>
      </c>
      <c r="M265" s="248">
        <f t="shared" ca="1" si="99"/>
        <v>86739.618362132605</v>
      </c>
      <c r="N265" s="248">
        <f t="shared" ca="1" si="99"/>
        <v>0</v>
      </c>
      <c r="O265" s="248">
        <f t="shared" ca="1" si="99"/>
        <v>0</v>
      </c>
      <c r="P265" s="248">
        <f t="shared" ca="1" si="99"/>
        <v>0</v>
      </c>
      <c r="Q265" s="248">
        <f t="shared" ca="1" si="99"/>
        <v>0</v>
      </c>
      <c r="R265" s="248">
        <f t="shared" ca="1" si="99"/>
        <v>0</v>
      </c>
      <c r="S265" s="248">
        <f t="shared" ca="1" si="99"/>
        <v>0</v>
      </c>
    </row>
    <row r="266" spans="1:19" s="154" customFormat="1" x14ac:dyDescent="0.25">
      <c r="A266" s="279"/>
      <c r="B266" s="279"/>
      <c r="C266" s="284" t="s">
        <v>20</v>
      </c>
      <c r="D266" s="285" t="s">
        <v>12</v>
      </c>
      <c r="E266" s="248">
        <f t="shared" ca="1" si="85"/>
        <v>2036537.0294825912</v>
      </c>
      <c r="F266" s="286"/>
      <c r="G266" s="286"/>
      <c r="H266" s="248">
        <f ca="1">SUM(H191:H194)</f>
        <v>502786.13113263558</v>
      </c>
      <c r="I266" s="248">
        <f t="shared" ref="I266:S266" ca="1" si="100">SUM(I191:I194)</f>
        <v>168529.2624395492</v>
      </c>
      <c r="J266" s="248">
        <f t="shared" ca="1" si="100"/>
        <v>508405.05506770528</v>
      </c>
      <c r="K266" s="248">
        <f t="shared" ca="1" si="100"/>
        <v>170412.67379051071</v>
      </c>
      <c r="L266" s="248">
        <f t="shared" ca="1" si="100"/>
        <v>514086.77370659274</v>
      </c>
      <c r="M266" s="248">
        <f t="shared" ca="1" si="100"/>
        <v>172317.13334559766</v>
      </c>
      <c r="N266" s="248">
        <f t="shared" ca="1" si="100"/>
        <v>0</v>
      </c>
      <c r="O266" s="248">
        <f t="shared" ca="1" si="100"/>
        <v>0</v>
      </c>
      <c r="P266" s="248">
        <f t="shared" ca="1" si="100"/>
        <v>0</v>
      </c>
      <c r="Q266" s="248">
        <f t="shared" ca="1" si="100"/>
        <v>0</v>
      </c>
      <c r="R266" s="248">
        <f t="shared" ca="1" si="100"/>
        <v>0</v>
      </c>
      <c r="S266" s="248">
        <f t="shared" ca="1" si="100"/>
        <v>0</v>
      </c>
    </row>
    <row r="267" spans="1:19" s="154" customFormat="1" x14ac:dyDescent="0.25">
      <c r="A267" s="279"/>
      <c r="B267" s="279"/>
      <c r="C267" s="284" t="s">
        <v>134</v>
      </c>
      <c r="D267" s="285" t="s">
        <v>12</v>
      </c>
      <c r="E267" s="248">
        <f t="shared" ca="1" si="85"/>
        <v>361570.89622025122</v>
      </c>
      <c r="F267" s="286"/>
      <c r="G267" s="286"/>
      <c r="H267" s="248">
        <f ca="1">SUM(H195:H198)</f>
        <v>120126.07084237671</v>
      </c>
      <c r="I267" s="248">
        <f t="shared" ref="I267:S267" ca="1" si="101">SUM(I195:I198)</f>
        <v>0</v>
      </c>
      <c r="J267" s="248">
        <f t="shared" ca="1" si="101"/>
        <v>120523.19445771119</v>
      </c>
      <c r="K267" s="248">
        <f t="shared" ca="1" si="101"/>
        <v>0</v>
      </c>
      <c r="L267" s="248">
        <f t="shared" ca="1" si="101"/>
        <v>120921.63092016331</v>
      </c>
      <c r="M267" s="248">
        <f t="shared" ca="1" si="101"/>
        <v>0</v>
      </c>
      <c r="N267" s="248">
        <f t="shared" ca="1" si="101"/>
        <v>0</v>
      </c>
      <c r="O267" s="248">
        <f t="shared" ca="1" si="101"/>
        <v>0</v>
      </c>
      <c r="P267" s="248">
        <f t="shared" ca="1" si="101"/>
        <v>0</v>
      </c>
      <c r="Q267" s="248">
        <f t="shared" ca="1" si="101"/>
        <v>0</v>
      </c>
      <c r="R267" s="248">
        <f t="shared" ca="1" si="101"/>
        <v>0</v>
      </c>
      <c r="S267" s="248">
        <f t="shared" ca="1" si="101"/>
        <v>0</v>
      </c>
    </row>
    <row r="268" spans="1:19" s="154" customFormat="1" x14ac:dyDescent="0.25">
      <c r="A268" s="279"/>
      <c r="B268" s="279"/>
      <c r="C268" s="284" t="s">
        <v>142</v>
      </c>
      <c r="D268" s="285" t="s">
        <v>12</v>
      </c>
      <c r="E268" s="248">
        <f t="shared" ca="1" si="85"/>
        <v>15465.572606150785</v>
      </c>
      <c r="F268" s="286"/>
      <c r="G268" s="286"/>
      <c r="H268" s="248">
        <f ca="1">SUM(H199:H202)</f>
        <v>0</v>
      </c>
      <c r="I268" s="248">
        <f t="shared" ref="I268:S268" ca="1" si="102">SUM(I199:I202)</f>
        <v>0</v>
      </c>
      <c r="J268" s="248">
        <f t="shared" ca="1" si="102"/>
        <v>0</v>
      </c>
      <c r="K268" s="248">
        <f t="shared" ca="1" si="102"/>
        <v>0</v>
      </c>
      <c r="L268" s="248">
        <f t="shared" ca="1" si="102"/>
        <v>7711.301605598891</v>
      </c>
      <c r="M268" s="248">
        <f t="shared" ca="1" si="102"/>
        <v>7754.2710005518948</v>
      </c>
      <c r="N268" s="248">
        <f t="shared" ca="1" si="102"/>
        <v>0</v>
      </c>
      <c r="O268" s="248">
        <f t="shared" ca="1" si="102"/>
        <v>0</v>
      </c>
      <c r="P268" s="248">
        <f t="shared" ca="1" si="102"/>
        <v>0</v>
      </c>
      <c r="Q268" s="248">
        <f t="shared" ca="1" si="102"/>
        <v>0</v>
      </c>
      <c r="R268" s="248">
        <f t="shared" ca="1" si="102"/>
        <v>0</v>
      </c>
      <c r="S268" s="248">
        <f t="shared" ca="1" si="102"/>
        <v>0</v>
      </c>
    </row>
    <row r="269" spans="1:19" s="154" customFormat="1" x14ac:dyDescent="0.25">
      <c r="A269" s="279"/>
      <c r="B269" s="279"/>
      <c r="C269" s="284" t="s">
        <v>127</v>
      </c>
      <c r="D269" s="285" t="s">
        <v>12</v>
      </c>
      <c r="E269" s="248">
        <f t="shared" ca="1" si="85"/>
        <v>222079.22865050531</v>
      </c>
      <c r="F269" s="286"/>
      <c r="G269" s="286"/>
      <c r="H269" s="248">
        <f ca="1">SUM(H203:H206)</f>
        <v>0</v>
      </c>
      <c r="I269" s="248">
        <f t="shared" ref="I269:S269" ca="1" si="103">SUM(I203:I206)</f>
        <v>0</v>
      </c>
      <c r="J269" s="248">
        <f t="shared" ca="1" si="103"/>
        <v>0</v>
      </c>
      <c r="K269" s="248">
        <f t="shared" ca="1" si="103"/>
        <v>0</v>
      </c>
      <c r="L269" s="248">
        <f t="shared" ca="1" si="103"/>
        <v>199838.3008653431</v>
      </c>
      <c r="M269" s="248">
        <f t="shared" ca="1" si="103"/>
        <v>22240.927785162203</v>
      </c>
      <c r="N269" s="248">
        <f t="shared" ca="1" si="103"/>
        <v>0</v>
      </c>
      <c r="O269" s="248">
        <f t="shared" ca="1" si="103"/>
        <v>0</v>
      </c>
      <c r="P269" s="248">
        <f t="shared" ca="1" si="103"/>
        <v>0</v>
      </c>
      <c r="Q269" s="248">
        <f t="shared" ca="1" si="103"/>
        <v>0</v>
      </c>
      <c r="R269" s="248">
        <f t="shared" ca="1" si="103"/>
        <v>0</v>
      </c>
      <c r="S269" s="248">
        <f t="shared" ca="1" si="103"/>
        <v>0</v>
      </c>
    </row>
    <row r="270" spans="1:19" s="154" customFormat="1" x14ac:dyDescent="0.25">
      <c r="A270" s="279"/>
      <c r="B270" s="279"/>
      <c r="C270" s="284" t="s">
        <v>24</v>
      </c>
      <c r="D270" s="285" t="s">
        <v>12</v>
      </c>
      <c r="E270" s="248">
        <f t="shared" ca="1" si="85"/>
        <v>24144.581164053714</v>
      </c>
      <c r="F270" s="286"/>
      <c r="G270" s="286"/>
      <c r="H270" s="248">
        <f ca="1">SUM(H207:H210)</f>
        <v>3432.1734526393343</v>
      </c>
      <c r="I270" s="248">
        <f t="shared" ref="I270:S270" ca="1" si="104">SUM(I207:I210)</f>
        <v>3437.8419661386597</v>
      </c>
      <c r="J270" s="248">
        <f t="shared" ca="1" si="104"/>
        <v>3443.5198416488915</v>
      </c>
      <c r="K270" s="248">
        <f t="shared" ca="1" si="104"/>
        <v>3449.2070946321501</v>
      </c>
      <c r="L270" s="248">
        <f t="shared" ca="1" si="104"/>
        <v>3454.9037405760951</v>
      </c>
      <c r="M270" s="248">
        <f t="shared" ca="1" si="104"/>
        <v>3460.6097949939654</v>
      </c>
      <c r="N270" s="248">
        <f t="shared" ca="1" si="104"/>
        <v>3466.3252734246189</v>
      </c>
      <c r="O270" s="248">
        <f t="shared" ca="1" si="104"/>
        <v>0</v>
      </c>
      <c r="P270" s="248">
        <f t="shared" ca="1" si="104"/>
        <v>0</v>
      </c>
      <c r="Q270" s="248">
        <f t="shared" ca="1" si="104"/>
        <v>0</v>
      </c>
      <c r="R270" s="248">
        <f t="shared" ca="1" si="104"/>
        <v>0</v>
      </c>
      <c r="S270" s="248">
        <f t="shared" ca="1" si="104"/>
        <v>0</v>
      </c>
    </row>
    <row r="271" spans="1:19" s="154" customFormat="1" x14ac:dyDescent="0.25">
      <c r="A271" s="279"/>
      <c r="B271" s="279"/>
      <c r="C271" s="284" t="s">
        <v>312</v>
      </c>
      <c r="D271" s="285" t="s">
        <v>12</v>
      </c>
      <c r="E271" s="248">
        <f t="shared" ca="1" si="85"/>
        <v>4844007.1620209953</v>
      </c>
      <c r="F271" s="286"/>
      <c r="G271" s="286"/>
      <c r="H271" s="248">
        <f ca="1">(H213+H214+H217+H218+H221+H222+H223+H224+H225)*(SUM(H252:H270)&gt;0)</f>
        <v>242639.8787242609</v>
      </c>
      <c r="I271" s="248">
        <f ca="1">(I213+I214+I217+I218+I221+I222+I223+I224+I225)*(SUM(I252:I270)&gt;0)</f>
        <v>633457.99967687903</v>
      </c>
      <c r="J271" s="248">
        <f t="shared" ref="J271:S271" ca="1" si="105">(J213+J214+J217+J218+J221+J222+J223+J224+J225)*(SUM(J252:J270)&gt;0)</f>
        <v>788337.29117641528</v>
      </c>
      <c r="K271" s="248">
        <f t="shared" ca="1" si="105"/>
        <v>790994.73424045974</v>
      </c>
      <c r="L271" s="248">
        <f t="shared" ca="1" si="105"/>
        <v>793664.11915457901</v>
      </c>
      <c r="M271" s="248">
        <f t="shared" ca="1" si="105"/>
        <v>796345.50772826315</v>
      </c>
      <c r="N271" s="248">
        <f t="shared" ca="1" si="105"/>
        <v>798567.63132013823</v>
      </c>
      <c r="O271" s="248">
        <f t="shared" ca="1" si="105"/>
        <v>0</v>
      </c>
      <c r="P271" s="248">
        <f t="shared" ca="1" si="105"/>
        <v>0</v>
      </c>
      <c r="Q271" s="248">
        <f t="shared" ca="1" si="105"/>
        <v>0</v>
      </c>
      <c r="R271" s="248">
        <f t="shared" ca="1" si="105"/>
        <v>0</v>
      </c>
      <c r="S271" s="248">
        <f t="shared" ca="1" si="105"/>
        <v>0</v>
      </c>
    </row>
    <row r="272" spans="1:19" s="154" customFormat="1" x14ac:dyDescent="0.25">
      <c r="A272" s="279"/>
      <c r="B272" s="279"/>
      <c r="C272" s="287"/>
      <c r="D272" s="281"/>
      <c r="E272" s="288" t="s">
        <v>139</v>
      </c>
      <c r="F272" s="289"/>
      <c r="G272" s="288" t="str">
        <f ca="1">IF(ROUND(SUM(H272:S272),0)=0,"ок","проверить расчет!")</f>
        <v>ок</v>
      </c>
      <c r="H272" s="288">
        <f ca="1">IF(SUM(H252:H271)&gt;0,H243-SUM(H252:H271),"")</f>
        <v>-9.3132257461547852E-10</v>
      </c>
      <c r="I272" s="288">
        <f t="shared" ref="I272:S272" ca="1" si="106">IF(SUM(I252:I271)&gt;0,I243-SUM(I252:I271),"")</f>
        <v>0</v>
      </c>
      <c r="J272" s="288">
        <f t="shared" ca="1" si="106"/>
        <v>-9.3132257461547852E-10</v>
      </c>
      <c r="K272" s="288">
        <f t="shared" ca="1" si="106"/>
        <v>1.3969838619232178E-9</v>
      </c>
      <c r="L272" s="288">
        <f t="shared" ca="1" si="106"/>
        <v>-1.862645149230957E-9</v>
      </c>
      <c r="M272" s="288">
        <f t="shared" ca="1" si="106"/>
        <v>1.862645149230957E-9</v>
      </c>
      <c r="N272" s="288">
        <f t="shared" ca="1" si="106"/>
        <v>0</v>
      </c>
      <c r="O272" s="288" t="str">
        <f t="shared" ca="1" si="106"/>
        <v/>
      </c>
      <c r="P272" s="288" t="str">
        <f t="shared" ca="1" si="106"/>
        <v/>
      </c>
      <c r="Q272" s="288" t="str">
        <f t="shared" ca="1" si="106"/>
        <v/>
      </c>
      <c r="R272" s="288" t="str">
        <f t="shared" ca="1" si="106"/>
        <v/>
      </c>
      <c r="S272" s="288" t="str">
        <f t="shared" ca="1" si="106"/>
        <v/>
      </c>
    </row>
    <row r="273" spans="1:19" s="154" customFormat="1" x14ac:dyDescent="0.25">
      <c r="A273" s="279"/>
      <c r="B273" s="279"/>
      <c r="C273" s="290" t="s">
        <v>316</v>
      </c>
      <c r="D273" s="291"/>
      <c r="E273" s="292">
        <f ca="1">SUM(E252:E271)</f>
        <v>45002195.413574561</v>
      </c>
      <c r="F273" s="293"/>
      <c r="G273" s="293"/>
      <c r="H273" s="294">
        <f ca="1">SUM(H252:H271)</f>
        <v>5480737.77228247</v>
      </c>
      <c r="I273" s="295">
        <f t="shared" ref="I273:S273" ca="1" si="107">SUM(I252:I271)</f>
        <v>2750350.0226571569</v>
      </c>
      <c r="J273" s="295">
        <f t="shared" ca="1" si="107"/>
        <v>7923338.0075716255</v>
      </c>
      <c r="K273" s="295">
        <f t="shared" ca="1" si="107"/>
        <v>4110824.5048990273</v>
      </c>
      <c r="L273" s="295">
        <f t="shared" ca="1" si="107"/>
        <v>6913314.6065866984</v>
      </c>
      <c r="M273" s="295">
        <f t="shared" ca="1" si="107"/>
        <v>13382069.35882535</v>
      </c>
      <c r="N273" s="295">
        <f t="shared" ca="1" si="107"/>
        <v>4441561.1407522336</v>
      </c>
      <c r="O273" s="295">
        <f t="shared" ca="1" si="107"/>
        <v>0</v>
      </c>
      <c r="P273" s="295">
        <f t="shared" ca="1" si="107"/>
        <v>0</v>
      </c>
      <c r="Q273" s="295">
        <f t="shared" ca="1" si="107"/>
        <v>0</v>
      </c>
      <c r="R273" s="295">
        <f t="shared" ca="1" si="107"/>
        <v>0</v>
      </c>
      <c r="S273" s="295">
        <f t="shared" ca="1" si="107"/>
        <v>0</v>
      </c>
    </row>
    <row r="274" spans="1:19" s="154" customFormat="1" x14ac:dyDescent="0.25">
      <c r="A274" s="279"/>
      <c r="B274" s="279"/>
      <c r="C274" s="296"/>
      <c r="D274" s="281"/>
      <c r="E274" s="289"/>
      <c r="F274" s="289"/>
      <c r="G274" s="297" t="s">
        <v>315</v>
      </c>
      <c r="H274" s="298" t="e">
        <f t="shared" ref="H274:S274" ca="1" si="108">IF(H273=MAX($H$273:$S$273),H273,NA())</f>
        <v>#N/A</v>
      </c>
      <c r="I274" s="298" t="e">
        <f t="shared" ca="1" si="108"/>
        <v>#N/A</v>
      </c>
      <c r="J274" s="298" t="e">
        <f t="shared" ca="1" si="108"/>
        <v>#N/A</v>
      </c>
      <c r="K274" s="298" t="e">
        <f t="shared" ca="1" si="108"/>
        <v>#N/A</v>
      </c>
      <c r="L274" s="298" t="e">
        <f t="shared" ca="1" si="108"/>
        <v>#N/A</v>
      </c>
      <c r="M274" s="298">
        <f t="shared" ca="1" si="108"/>
        <v>13382069.35882535</v>
      </c>
      <c r="N274" s="298" t="e">
        <f t="shared" ca="1" si="108"/>
        <v>#N/A</v>
      </c>
      <c r="O274" s="298" t="e">
        <f t="shared" ca="1" si="108"/>
        <v>#N/A</v>
      </c>
      <c r="P274" s="298" t="e">
        <f t="shared" ca="1" si="108"/>
        <v>#N/A</v>
      </c>
      <c r="Q274" s="298" t="e">
        <f t="shared" ca="1" si="108"/>
        <v>#N/A</v>
      </c>
      <c r="R274" s="298" t="e">
        <f t="shared" ca="1" si="108"/>
        <v>#N/A</v>
      </c>
      <c r="S274" s="298" t="e">
        <f t="shared" ca="1" si="108"/>
        <v>#N/A</v>
      </c>
    </row>
    <row r="275" spans="1:19" s="154" customFormat="1" x14ac:dyDescent="0.25">
      <c r="A275" s="279"/>
      <c r="B275" s="279"/>
      <c r="C275" s="280" t="s">
        <v>164</v>
      </c>
      <c r="D275" s="281"/>
      <c r="E275" s="289"/>
      <c r="F275" s="289"/>
      <c r="G275" s="289"/>
      <c r="H275" s="299"/>
      <c r="I275" s="299"/>
      <c r="J275" s="299"/>
      <c r="K275" s="299"/>
      <c r="L275" s="299"/>
      <c r="M275" s="299"/>
      <c r="N275" s="299"/>
      <c r="O275" s="299"/>
      <c r="P275" s="299"/>
      <c r="Q275" s="299"/>
      <c r="R275" s="299"/>
      <c r="S275" s="299"/>
    </row>
    <row r="276" spans="1:19" s="154" customFormat="1" x14ac:dyDescent="0.25">
      <c r="A276" s="300"/>
      <c r="B276" s="300">
        <v>1</v>
      </c>
      <c r="C276" s="301" t="str">
        <f ca="1">IFERROR(IF(E276&gt;0,INDEX($C$252:$C$271,MATCH(E276,$E$252:$E$271,0)),INDIRECT("C"&amp;SMALL($C$297:$C$316,D276))),"")</f>
        <v>НИОКР</v>
      </c>
      <c r="D276" s="281">
        <f ca="1">IFERROR(COUNTIF(E$275:E276,0),"")</f>
        <v>0</v>
      </c>
      <c r="E276" s="302">
        <f ca="1">LARGE($E$252:$E$271,$B276)</f>
        <v>10208811.434158018</v>
      </c>
      <c r="F276" s="303">
        <f ca="1">IFERROR(E276/$E$273,"")</f>
        <v>0.22685140892212138</v>
      </c>
      <c r="G276" s="289"/>
      <c r="H276" s="304">
        <f ca="1">IF(INDEX(H$252:H$271,MATCH($C276,$C$252:$C$271,0))&gt;0,$B276,NA())</f>
        <v>1</v>
      </c>
      <c r="I276" s="304">
        <f t="shared" ref="I276:S291" ca="1" si="109">IF(INDEX(I$252:I$271,MATCH($C276,$C$252:$C$271,0))&gt;0,$B276,NA())</f>
        <v>1</v>
      </c>
      <c r="J276" s="304">
        <f t="shared" ca="1" si="109"/>
        <v>1</v>
      </c>
      <c r="K276" s="304">
        <f t="shared" ca="1" si="109"/>
        <v>1</v>
      </c>
      <c r="L276" s="304">
        <f t="shared" ca="1" si="109"/>
        <v>1</v>
      </c>
      <c r="M276" s="304" t="e">
        <f t="shared" ca="1" si="109"/>
        <v>#N/A</v>
      </c>
      <c r="N276" s="304">
        <f t="shared" ca="1" si="109"/>
        <v>1</v>
      </c>
      <c r="O276" s="304" t="e">
        <f t="shared" ca="1" si="109"/>
        <v>#N/A</v>
      </c>
      <c r="P276" s="304" t="e">
        <f t="shared" ca="1" si="109"/>
        <v>#N/A</v>
      </c>
      <c r="Q276" s="304" t="e">
        <f t="shared" ca="1" si="109"/>
        <v>#N/A</v>
      </c>
      <c r="R276" s="304" t="e">
        <f t="shared" ca="1" si="109"/>
        <v>#N/A</v>
      </c>
      <c r="S276" s="304" t="e">
        <f t="shared" ca="1" si="109"/>
        <v>#N/A</v>
      </c>
    </row>
    <row r="277" spans="1:19" s="154" customFormat="1" x14ac:dyDescent="0.25">
      <c r="A277" s="300"/>
      <c r="B277" s="300">
        <v>2</v>
      </c>
      <c r="C277" s="301" t="str">
        <f t="shared" ref="C277:C295" ca="1" si="110">IFERROR(IF(E277&gt;0,INDEX($C$252:$C$271,MATCH(E277,$E$252:$E$271,0)),INDIRECT("C"&amp;SMALL($C$297:$C$316,D277))),"")</f>
        <v>Участие в выставках, конференциях, бизнес-миссиях</v>
      </c>
      <c r="D277" s="281">
        <f ca="1">COUNTIF(E$275:E277,0)</f>
        <v>0</v>
      </c>
      <c r="E277" s="302">
        <f ca="1">LARGE($E$252:$E$271,$B277)</f>
        <v>7835230.1934271976</v>
      </c>
      <c r="F277" s="303">
        <f t="shared" ref="F277:F295" ca="1" si="111">IFERROR(E277/$E$273,"")</f>
        <v>0.17410773233218221</v>
      </c>
      <c r="G277" s="289"/>
      <c r="H277" s="304">
        <f t="shared" ref="H277:S295" ca="1" si="112">IF(INDEX(H$252:H$271,MATCH($C277,$C$252:$C$271,0))&gt;0,$B277,NA())</f>
        <v>2</v>
      </c>
      <c r="I277" s="304">
        <f t="shared" ca="1" si="112"/>
        <v>2</v>
      </c>
      <c r="J277" s="304">
        <f t="shared" ca="1" si="112"/>
        <v>2</v>
      </c>
      <c r="K277" s="304">
        <f t="shared" ca="1" si="112"/>
        <v>2</v>
      </c>
      <c r="L277" s="304">
        <f t="shared" ca="1" si="112"/>
        <v>2</v>
      </c>
      <c r="M277" s="304">
        <f t="shared" ca="1" si="112"/>
        <v>2</v>
      </c>
      <c r="N277" s="304" t="e">
        <f t="shared" ca="1" si="112"/>
        <v>#N/A</v>
      </c>
      <c r="O277" s="304" t="e">
        <f t="shared" ca="1" si="112"/>
        <v>#N/A</v>
      </c>
      <c r="P277" s="304" t="e">
        <f t="shared" ca="1" si="112"/>
        <v>#N/A</v>
      </c>
      <c r="Q277" s="304" t="e">
        <f t="shared" ca="1" si="112"/>
        <v>#N/A</v>
      </c>
      <c r="R277" s="304" t="e">
        <f t="shared" ca="1" si="112"/>
        <v>#N/A</v>
      </c>
      <c r="S277" s="304" t="e">
        <f t="shared" ca="1" si="112"/>
        <v>#N/A</v>
      </c>
    </row>
    <row r="278" spans="1:19" s="154" customFormat="1" x14ac:dyDescent="0.25">
      <c r="A278" s="300"/>
      <c r="B278" s="300">
        <v>3</v>
      </c>
      <c r="C278" s="301" t="str">
        <f t="shared" ca="1" si="110"/>
        <v>Закупка основных средств: земельный участок</v>
      </c>
      <c r="D278" s="281">
        <f ca="1">COUNTIF(E$275:E278,0)</f>
        <v>0</v>
      </c>
      <c r="E278" s="302">
        <f t="shared" ref="E278:E295" ca="1" si="113">LARGE($E$252:$E$271,$B278)</f>
        <v>5385599.6855833093</v>
      </c>
      <c r="F278" s="303">
        <f t="shared" ca="1" si="111"/>
        <v>0.11967415447377897</v>
      </c>
      <c r="G278" s="289"/>
      <c r="H278" s="304" t="e">
        <f t="shared" ca="1" si="112"/>
        <v>#N/A</v>
      </c>
      <c r="I278" s="304" t="e">
        <f t="shared" ca="1" si="109"/>
        <v>#N/A</v>
      </c>
      <c r="J278" s="304" t="e">
        <f t="shared" ca="1" si="109"/>
        <v>#N/A</v>
      </c>
      <c r="K278" s="304" t="e">
        <f t="shared" ca="1" si="109"/>
        <v>#N/A</v>
      </c>
      <c r="L278" s="304" t="e">
        <f t="shared" ca="1" si="109"/>
        <v>#N/A</v>
      </c>
      <c r="M278" s="304">
        <f t="shared" ca="1" si="109"/>
        <v>3</v>
      </c>
      <c r="N278" s="304" t="e">
        <f t="shared" ca="1" si="109"/>
        <v>#N/A</v>
      </c>
      <c r="O278" s="304" t="e">
        <f t="shared" ca="1" si="109"/>
        <v>#N/A</v>
      </c>
      <c r="P278" s="304" t="e">
        <f t="shared" ca="1" si="109"/>
        <v>#N/A</v>
      </c>
      <c r="Q278" s="304" t="e">
        <f t="shared" ca="1" si="109"/>
        <v>#N/A</v>
      </c>
      <c r="R278" s="304" t="e">
        <f t="shared" ca="1" si="109"/>
        <v>#N/A</v>
      </c>
      <c r="S278" s="304" t="e">
        <f t="shared" ca="1" si="109"/>
        <v>#N/A</v>
      </c>
    </row>
    <row r="279" spans="1:19" s="154" customFormat="1" x14ac:dyDescent="0.25">
      <c r="A279" s="300"/>
      <c r="B279" s="300">
        <v>4</v>
      </c>
      <c r="C279" s="301" t="str">
        <f t="shared" ca="1" si="110"/>
        <v>Оплата труда персонала и услуг сторонних организаций</v>
      </c>
      <c r="D279" s="281">
        <f ca="1">COUNTIF(E$275:E279,0)</f>
        <v>0</v>
      </c>
      <c r="E279" s="302">
        <f t="shared" ca="1" si="113"/>
        <v>4844007.1620209953</v>
      </c>
      <c r="F279" s="303">
        <f t="shared" ca="1" si="111"/>
        <v>0.10763935220280027</v>
      </c>
      <c r="G279" s="289"/>
      <c r="H279" s="304">
        <f t="shared" ca="1" si="112"/>
        <v>4</v>
      </c>
      <c r="I279" s="304">
        <f t="shared" ca="1" si="109"/>
        <v>4</v>
      </c>
      <c r="J279" s="304">
        <f t="shared" ca="1" si="109"/>
        <v>4</v>
      </c>
      <c r="K279" s="304">
        <f t="shared" ca="1" si="109"/>
        <v>4</v>
      </c>
      <c r="L279" s="304">
        <f t="shared" ca="1" si="109"/>
        <v>4</v>
      </c>
      <c r="M279" s="304">
        <f t="shared" ca="1" si="109"/>
        <v>4</v>
      </c>
      <c r="N279" s="304">
        <f t="shared" ca="1" si="109"/>
        <v>4</v>
      </c>
      <c r="O279" s="304" t="e">
        <f t="shared" ca="1" si="109"/>
        <v>#N/A</v>
      </c>
      <c r="P279" s="304" t="e">
        <f t="shared" ca="1" si="109"/>
        <v>#N/A</v>
      </c>
      <c r="Q279" s="304" t="e">
        <f t="shared" ca="1" si="109"/>
        <v>#N/A</v>
      </c>
      <c r="R279" s="304" t="e">
        <f t="shared" ca="1" si="109"/>
        <v>#N/A</v>
      </c>
      <c r="S279" s="304" t="e">
        <f t="shared" ca="1" si="109"/>
        <v>#N/A</v>
      </c>
    </row>
    <row r="280" spans="1:19" s="154" customFormat="1" x14ac:dyDescent="0.25">
      <c r="A280" s="300"/>
      <c r="B280" s="300">
        <v>5</v>
      </c>
      <c r="C280" s="301" t="str">
        <f t="shared" ca="1" si="110"/>
        <v>Адаптация продукта</v>
      </c>
      <c r="D280" s="281">
        <f ca="1">COUNTIF(E$275:E280,0)</f>
        <v>0</v>
      </c>
      <c r="E280" s="302">
        <f t="shared" ca="1" si="113"/>
        <v>3983150.7266054149</v>
      </c>
      <c r="F280" s="303">
        <f t="shared" ca="1" si="111"/>
        <v>8.8510142449715432E-2</v>
      </c>
      <c r="G280" s="289"/>
      <c r="H280" s="304" t="e">
        <f t="shared" ca="1" si="112"/>
        <v>#N/A</v>
      </c>
      <c r="I280" s="304" t="e">
        <f t="shared" ca="1" si="109"/>
        <v>#N/A</v>
      </c>
      <c r="J280" s="304" t="e">
        <f t="shared" ca="1" si="109"/>
        <v>#N/A</v>
      </c>
      <c r="K280" s="304" t="e">
        <f t="shared" ca="1" si="109"/>
        <v>#N/A</v>
      </c>
      <c r="L280" s="304" t="e">
        <f t="shared" ca="1" si="109"/>
        <v>#N/A</v>
      </c>
      <c r="M280" s="304">
        <f t="shared" ca="1" si="109"/>
        <v>5</v>
      </c>
      <c r="N280" s="304">
        <f t="shared" ca="1" si="109"/>
        <v>5</v>
      </c>
      <c r="O280" s="304" t="e">
        <f t="shared" ca="1" si="109"/>
        <v>#N/A</v>
      </c>
      <c r="P280" s="304" t="e">
        <f t="shared" ca="1" si="109"/>
        <v>#N/A</v>
      </c>
      <c r="Q280" s="304" t="e">
        <f t="shared" ca="1" si="109"/>
        <v>#N/A</v>
      </c>
      <c r="R280" s="304" t="e">
        <f t="shared" ca="1" si="109"/>
        <v>#N/A</v>
      </c>
      <c r="S280" s="304" t="e">
        <f t="shared" ca="1" si="109"/>
        <v>#N/A</v>
      </c>
    </row>
    <row r="281" spans="1:19" s="154" customFormat="1" x14ac:dyDescent="0.25">
      <c r="A281" s="300"/>
      <c r="B281" s="300">
        <v>6</v>
      </c>
      <c r="C281" s="301" t="str">
        <f t="shared" ca="1" si="110"/>
        <v>Закупка основных средств: оборудование</v>
      </c>
      <c r="D281" s="281">
        <f ca="1">COUNTIF(E$275:E281,0)</f>
        <v>0</v>
      </c>
      <c r="E281" s="302">
        <f t="shared" ca="1" si="113"/>
        <v>3041742.8704978274</v>
      </c>
      <c r="F281" s="303">
        <f t="shared" ca="1" si="111"/>
        <v>6.7590988451650277E-2</v>
      </c>
      <c r="G281" s="289"/>
      <c r="H281" s="304" t="e">
        <f t="shared" ca="1" si="112"/>
        <v>#N/A</v>
      </c>
      <c r="I281" s="304" t="e">
        <f t="shared" ca="1" si="109"/>
        <v>#N/A</v>
      </c>
      <c r="J281" s="304" t="e">
        <f t="shared" ca="1" si="109"/>
        <v>#N/A</v>
      </c>
      <c r="K281" s="304">
        <f t="shared" ca="1" si="109"/>
        <v>6</v>
      </c>
      <c r="L281" s="304" t="e">
        <f t="shared" ca="1" si="109"/>
        <v>#N/A</v>
      </c>
      <c r="M281" s="304">
        <f t="shared" ca="1" si="109"/>
        <v>6</v>
      </c>
      <c r="N281" s="304">
        <f t="shared" ca="1" si="109"/>
        <v>6</v>
      </c>
      <c r="O281" s="304" t="e">
        <f t="shared" ca="1" si="109"/>
        <v>#N/A</v>
      </c>
      <c r="P281" s="304" t="e">
        <f t="shared" ca="1" si="109"/>
        <v>#N/A</v>
      </c>
      <c r="Q281" s="304" t="e">
        <f t="shared" ca="1" si="109"/>
        <v>#N/A</v>
      </c>
      <c r="R281" s="304" t="e">
        <f t="shared" ca="1" si="109"/>
        <v>#N/A</v>
      </c>
      <c r="S281" s="304" t="e">
        <f t="shared" ca="1" si="109"/>
        <v>#N/A</v>
      </c>
    </row>
    <row r="282" spans="1:19" s="154" customFormat="1" x14ac:dyDescent="0.25">
      <c r="A282" s="300"/>
      <c r="B282" s="300">
        <v>7</v>
      </c>
      <c r="C282" s="301" t="str">
        <f t="shared" ca="1" si="110"/>
        <v>Тестовая партия (испытания, рекламные акции)</v>
      </c>
      <c r="D282" s="281">
        <f ca="1">COUNTIF(E$275:E282,0)</f>
        <v>0</v>
      </c>
      <c r="E282" s="302">
        <f t="shared" ca="1" si="113"/>
        <v>2141490.2557093347</v>
      </c>
      <c r="F282" s="303">
        <f t="shared" ca="1" si="111"/>
        <v>4.7586350755309391E-2</v>
      </c>
      <c r="G282" s="289"/>
      <c r="H282" s="304">
        <f t="shared" ca="1" si="112"/>
        <v>7</v>
      </c>
      <c r="I282" s="304" t="e">
        <f t="shared" ca="1" si="109"/>
        <v>#N/A</v>
      </c>
      <c r="J282" s="304">
        <f t="shared" ca="1" si="109"/>
        <v>7</v>
      </c>
      <c r="K282" s="304" t="e">
        <f t="shared" ca="1" si="109"/>
        <v>#N/A</v>
      </c>
      <c r="L282" s="304">
        <f t="shared" ca="1" si="109"/>
        <v>7</v>
      </c>
      <c r="M282" s="304" t="e">
        <f t="shared" ca="1" si="109"/>
        <v>#N/A</v>
      </c>
      <c r="N282" s="304" t="e">
        <f t="shared" ca="1" si="109"/>
        <v>#N/A</v>
      </c>
      <c r="O282" s="304" t="e">
        <f t="shared" ca="1" si="109"/>
        <v>#N/A</v>
      </c>
      <c r="P282" s="304" t="e">
        <f t="shared" ca="1" si="109"/>
        <v>#N/A</v>
      </c>
      <c r="Q282" s="304" t="e">
        <f t="shared" ca="1" si="109"/>
        <v>#N/A</v>
      </c>
      <c r="R282" s="304" t="e">
        <f t="shared" ca="1" si="109"/>
        <v>#N/A</v>
      </c>
      <c r="S282" s="304" t="e">
        <f t="shared" ca="1" si="109"/>
        <v>#N/A</v>
      </c>
    </row>
    <row r="283" spans="1:19" s="154" customFormat="1" x14ac:dyDescent="0.25">
      <c r="A283" s="300"/>
      <c r="B283" s="300">
        <v>8</v>
      </c>
      <c r="C283" s="301" t="str">
        <f t="shared" ca="1" si="110"/>
        <v>Подготовка рекламных материалов</v>
      </c>
      <c r="D283" s="281">
        <f ca="1">COUNTIF(E$275:E283,0)</f>
        <v>0</v>
      </c>
      <c r="E283" s="302">
        <f t="shared" ca="1" si="113"/>
        <v>2036537.0294825912</v>
      </c>
      <c r="F283" s="303">
        <f t="shared" ca="1" si="111"/>
        <v>4.5254170619157964E-2</v>
      </c>
      <c r="G283" s="289"/>
      <c r="H283" s="304">
        <f t="shared" ca="1" si="112"/>
        <v>8</v>
      </c>
      <c r="I283" s="304">
        <f t="shared" ca="1" si="109"/>
        <v>8</v>
      </c>
      <c r="J283" s="304">
        <f t="shared" ca="1" si="109"/>
        <v>8</v>
      </c>
      <c r="K283" s="304">
        <f t="shared" ca="1" si="109"/>
        <v>8</v>
      </c>
      <c r="L283" s="304">
        <f t="shared" ca="1" si="109"/>
        <v>8</v>
      </c>
      <c r="M283" s="304">
        <f t="shared" ca="1" si="109"/>
        <v>8</v>
      </c>
      <c r="N283" s="304" t="e">
        <f t="shared" ca="1" si="109"/>
        <v>#N/A</v>
      </c>
      <c r="O283" s="304" t="e">
        <f t="shared" ca="1" si="109"/>
        <v>#N/A</v>
      </c>
      <c r="P283" s="304" t="e">
        <f t="shared" ca="1" si="109"/>
        <v>#N/A</v>
      </c>
      <c r="Q283" s="304" t="e">
        <f t="shared" ca="1" si="109"/>
        <v>#N/A</v>
      </c>
      <c r="R283" s="304" t="e">
        <f t="shared" ca="1" si="109"/>
        <v>#N/A</v>
      </c>
      <c r="S283" s="304" t="e">
        <f t="shared" ca="1" si="109"/>
        <v>#N/A</v>
      </c>
    </row>
    <row r="284" spans="1:19" s="154" customFormat="1" x14ac:dyDescent="0.25">
      <c r="A284" s="300"/>
      <c r="B284" s="300">
        <v>9</v>
      </c>
      <c r="C284" s="301" t="str">
        <f t="shared" ca="1" si="110"/>
        <v>Закупка основных средств: помещение</v>
      </c>
      <c r="D284" s="281">
        <f ca="1">COUNTIF(E$275:E284,0)</f>
        <v>0</v>
      </c>
      <c r="E284" s="302">
        <f t="shared" ca="1" si="113"/>
        <v>1744710.9751241764</v>
      </c>
      <c r="F284" s="303">
        <f t="shared" ca="1" si="111"/>
        <v>3.8769463558168939E-2</v>
      </c>
      <c r="G284" s="289"/>
      <c r="H284" s="304" t="e">
        <f t="shared" ca="1" si="112"/>
        <v>#N/A</v>
      </c>
      <c r="I284" s="304" t="e">
        <f t="shared" ca="1" si="109"/>
        <v>#N/A</v>
      </c>
      <c r="J284" s="304" t="e">
        <f t="shared" ca="1" si="109"/>
        <v>#N/A</v>
      </c>
      <c r="K284" s="304" t="e">
        <f t="shared" ca="1" si="109"/>
        <v>#N/A</v>
      </c>
      <c r="L284" s="304" t="e">
        <f t="shared" ca="1" si="109"/>
        <v>#N/A</v>
      </c>
      <c r="M284" s="304">
        <f t="shared" ca="1" si="109"/>
        <v>9</v>
      </c>
      <c r="N284" s="304" t="e">
        <f t="shared" ca="1" si="109"/>
        <v>#N/A</v>
      </c>
      <c r="O284" s="304" t="e">
        <f t="shared" ca="1" si="109"/>
        <v>#N/A</v>
      </c>
      <c r="P284" s="304" t="e">
        <f t="shared" ca="1" si="109"/>
        <v>#N/A</v>
      </c>
      <c r="Q284" s="304" t="e">
        <f t="shared" ca="1" si="109"/>
        <v>#N/A</v>
      </c>
      <c r="R284" s="304" t="e">
        <f t="shared" ca="1" si="109"/>
        <v>#N/A</v>
      </c>
      <c r="S284" s="304" t="e">
        <f t="shared" ca="1" si="109"/>
        <v>#N/A</v>
      </c>
    </row>
    <row r="285" spans="1:19" s="154" customFormat="1" x14ac:dyDescent="0.25">
      <c r="A285" s="300"/>
      <c r="B285" s="300">
        <v>10</v>
      </c>
      <c r="C285" s="301" t="str">
        <f t="shared" ca="1" si="110"/>
        <v>Анализ рынка продукта</v>
      </c>
      <c r="D285" s="281">
        <f ca="1">COUNTIF(E$275:E285,0)</f>
        <v>0</v>
      </c>
      <c r="E285" s="302">
        <f t="shared" ca="1" si="113"/>
        <v>1206627.730883104</v>
      </c>
      <c r="F285" s="303">
        <f t="shared" ca="1" si="111"/>
        <v>2.6812641467690135E-2</v>
      </c>
      <c r="G285" s="289"/>
      <c r="H285" s="304">
        <f t="shared" ca="1" si="112"/>
        <v>10</v>
      </c>
      <c r="I285" s="304">
        <f t="shared" ca="1" si="109"/>
        <v>10</v>
      </c>
      <c r="J285" s="304">
        <f t="shared" ca="1" si="109"/>
        <v>10</v>
      </c>
      <c r="K285" s="304">
        <f t="shared" ca="1" si="109"/>
        <v>10</v>
      </c>
      <c r="L285" s="304">
        <f t="shared" ca="1" si="109"/>
        <v>10</v>
      </c>
      <c r="M285" s="304">
        <f t="shared" ca="1" si="109"/>
        <v>10</v>
      </c>
      <c r="N285" s="304" t="e">
        <f t="shared" ca="1" si="109"/>
        <v>#N/A</v>
      </c>
      <c r="O285" s="304" t="e">
        <f t="shared" ca="1" si="109"/>
        <v>#N/A</v>
      </c>
      <c r="P285" s="304" t="e">
        <f t="shared" ca="1" si="109"/>
        <v>#N/A</v>
      </c>
      <c r="Q285" s="304" t="e">
        <f t="shared" ca="1" si="109"/>
        <v>#N/A</v>
      </c>
      <c r="R285" s="304" t="e">
        <f t="shared" ca="1" si="109"/>
        <v>#N/A</v>
      </c>
      <c r="S285" s="304" t="e">
        <f t="shared" ca="1" si="109"/>
        <v>#N/A</v>
      </c>
    </row>
    <row r="286" spans="1:19" s="154" customFormat="1" x14ac:dyDescent="0.25">
      <c r="A286" s="300"/>
      <c r="B286" s="300">
        <v>11</v>
      </c>
      <c r="C286" s="301" t="str">
        <f t="shared" ca="1" si="110"/>
        <v>Пусковые расходы</v>
      </c>
      <c r="D286" s="281">
        <f ca="1">COUNTIF(E$275:E286,0)</f>
        <v>0</v>
      </c>
      <c r="E286" s="302">
        <f t="shared" ca="1" si="113"/>
        <v>518045.12767100497</v>
      </c>
      <c r="F286" s="303">
        <f t="shared" ca="1" si="111"/>
        <v>1.1511552334505456E-2</v>
      </c>
      <c r="G286" s="289"/>
      <c r="H286" s="304" t="e">
        <f t="shared" ca="1" si="112"/>
        <v>#N/A</v>
      </c>
      <c r="I286" s="304" t="e">
        <f t="shared" ca="1" si="109"/>
        <v>#N/A</v>
      </c>
      <c r="J286" s="304" t="e">
        <f t="shared" ca="1" si="109"/>
        <v>#N/A</v>
      </c>
      <c r="K286" s="304" t="e">
        <f t="shared" ca="1" si="109"/>
        <v>#N/A</v>
      </c>
      <c r="L286" s="304" t="e">
        <f t="shared" ca="1" si="109"/>
        <v>#N/A</v>
      </c>
      <c r="M286" s="304">
        <f t="shared" ca="1" si="109"/>
        <v>11</v>
      </c>
      <c r="N286" s="304">
        <f t="shared" ca="1" si="109"/>
        <v>11</v>
      </c>
      <c r="O286" s="304" t="e">
        <f t="shared" ca="1" si="109"/>
        <v>#N/A</v>
      </c>
      <c r="P286" s="304" t="e">
        <f t="shared" ca="1" si="109"/>
        <v>#N/A</v>
      </c>
      <c r="Q286" s="304" t="e">
        <f t="shared" ca="1" si="109"/>
        <v>#N/A</v>
      </c>
      <c r="R286" s="304" t="e">
        <f t="shared" ca="1" si="109"/>
        <v>#N/A</v>
      </c>
      <c r="S286" s="304" t="e">
        <f t="shared" ca="1" si="109"/>
        <v>#N/A</v>
      </c>
    </row>
    <row r="287" spans="1:19" s="154" customFormat="1" x14ac:dyDescent="0.25">
      <c r="A287" s="300"/>
      <c r="B287" s="300">
        <v>12</v>
      </c>
      <c r="C287" s="301" t="str">
        <f t="shared" ca="1" si="110"/>
        <v>Расходы на подготовку производства</v>
      </c>
      <c r="D287" s="281">
        <f ca="1">COUNTIF(E$275:E287,0)</f>
        <v>0</v>
      </c>
      <c r="E287" s="302">
        <f t="shared" ca="1" si="113"/>
        <v>507004.24872263015</v>
      </c>
      <c r="F287" s="303">
        <f t="shared" ca="1" si="111"/>
        <v>1.1266211438424541E-2</v>
      </c>
      <c r="G287" s="289"/>
      <c r="H287" s="304">
        <f t="shared" ca="1" si="112"/>
        <v>12</v>
      </c>
      <c r="I287" s="304">
        <f t="shared" ca="1" si="109"/>
        <v>12</v>
      </c>
      <c r="J287" s="304">
        <f t="shared" ca="1" si="109"/>
        <v>12</v>
      </c>
      <c r="K287" s="304">
        <f t="shared" ca="1" si="109"/>
        <v>12</v>
      </c>
      <c r="L287" s="304" t="e">
        <f t="shared" ca="1" si="109"/>
        <v>#N/A</v>
      </c>
      <c r="M287" s="304" t="e">
        <f t="shared" ca="1" si="109"/>
        <v>#N/A</v>
      </c>
      <c r="N287" s="304" t="e">
        <f t="shared" ca="1" si="109"/>
        <v>#N/A</v>
      </c>
      <c r="O287" s="304" t="e">
        <f t="shared" ca="1" si="109"/>
        <v>#N/A</v>
      </c>
      <c r="P287" s="304" t="e">
        <f t="shared" ca="1" si="109"/>
        <v>#N/A</v>
      </c>
      <c r="Q287" s="304" t="e">
        <f t="shared" ca="1" si="109"/>
        <v>#N/A</v>
      </c>
      <c r="R287" s="304" t="e">
        <f t="shared" ca="1" si="109"/>
        <v>#N/A</v>
      </c>
      <c r="S287" s="304" t="e">
        <f t="shared" ca="1" si="109"/>
        <v>#N/A</v>
      </c>
    </row>
    <row r="288" spans="1:19" s="154" customFormat="1" x14ac:dyDescent="0.25">
      <c r="A288" s="300"/>
      <c r="B288" s="300">
        <v>13</v>
      </c>
      <c r="C288" s="301" t="str">
        <f t="shared" ca="1" si="110"/>
        <v>Защита исключительных прав</v>
      </c>
      <c r="D288" s="281">
        <f ca="1">COUNTIF(E$275:E288,0)</f>
        <v>0</v>
      </c>
      <c r="E288" s="302">
        <f t="shared" ca="1" si="113"/>
        <v>479300.71064570243</v>
      </c>
      <c r="F288" s="303">
        <f t="shared" ca="1" si="111"/>
        <v>1.0650607292397231E-2</v>
      </c>
      <c r="G288" s="289"/>
      <c r="H288" s="304">
        <f t="shared" ca="1" si="112"/>
        <v>13</v>
      </c>
      <c r="I288" s="304">
        <f t="shared" ca="1" si="109"/>
        <v>13</v>
      </c>
      <c r="J288" s="304">
        <f t="shared" ca="1" si="109"/>
        <v>13</v>
      </c>
      <c r="K288" s="304">
        <f t="shared" ca="1" si="109"/>
        <v>13</v>
      </c>
      <c r="L288" s="304">
        <f t="shared" ca="1" si="109"/>
        <v>13</v>
      </c>
      <c r="M288" s="304">
        <f t="shared" ca="1" si="109"/>
        <v>13</v>
      </c>
      <c r="N288" s="304">
        <f t="shared" ca="1" si="109"/>
        <v>13</v>
      </c>
      <c r="O288" s="304" t="e">
        <f t="shared" ca="1" si="109"/>
        <v>#N/A</v>
      </c>
      <c r="P288" s="304" t="e">
        <f t="shared" ca="1" si="109"/>
        <v>#N/A</v>
      </c>
      <c r="Q288" s="304" t="e">
        <f t="shared" ca="1" si="109"/>
        <v>#N/A</v>
      </c>
      <c r="R288" s="304" t="e">
        <f t="shared" ca="1" si="109"/>
        <v>#N/A</v>
      </c>
      <c r="S288" s="304" t="e">
        <f t="shared" ca="1" si="109"/>
        <v>#N/A</v>
      </c>
    </row>
    <row r="289" spans="1:19" s="154" customFormat="1" x14ac:dyDescent="0.25">
      <c r="A289" s="300"/>
      <c r="B289" s="300">
        <v>14</v>
      </c>
      <c r="C289" s="301" t="str">
        <f t="shared" ca="1" si="110"/>
        <v>Услуги по найму дополнительного персонала</v>
      </c>
      <c r="D289" s="281">
        <f ca="1">COUNTIF(E$275:E289,0)</f>
        <v>0</v>
      </c>
      <c r="E289" s="302">
        <f t="shared" ca="1" si="113"/>
        <v>361570.89622025122</v>
      </c>
      <c r="F289" s="303">
        <f t="shared" ca="1" si="111"/>
        <v>8.0345168251766269E-3</v>
      </c>
      <c r="G289" s="289"/>
      <c r="H289" s="304">
        <f t="shared" ca="1" si="112"/>
        <v>14</v>
      </c>
      <c r="I289" s="304" t="e">
        <f t="shared" ca="1" si="109"/>
        <v>#N/A</v>
      </c>
      <c r="J289" s="304">
        <f t="shared" ca="1" si="109"/>
        <v>14</v>
      </c>
      <c r="K289" s="304" t="e">
        <f t="shared" ca="1" si="109"/>
        <v>#N/A</v>
      </c>
      <c r="L289" s="304">
        <f t="shared" ca="1" si="109"/>
        <v>14</v>
      </c>
      <c r="M289" s="304" t="e">
        <f t="shared" ca="1" si="109"/>
        <v>#N/A</v>
      </c>
      <c r="N289" s="304" t="e">
        <f t="shared" ca="1" si="109"/>
        <v>#N/A</v>
      </c>
      <c r="O289" s="304" t="e">
        <f t="shared" ca="1" si="109"/>
        <v>#N/A</v>
      </c>
      <c r="P289" s="304" t="e">
        <f t="shared" ca="1" si="109"/>
        <v>#N/A</v>
      </c>
      <c r="Q289" s="304" t="e">
        <f t="shared" ca="1" si="109"/>
        <v>#N/A</v>
      </c>
      <c r="R289" s="304" t="e">
        <f t="shared" ca="1" si="109"/>
        <v>#N/A</v>
      </c>
      <c r="S289" s="304" t="e">
        <f t="shared" ca="1" si="109"/>
        <v>#N/A</v>
      </c>
    </row>
    <row r="290" spans="1:19" s="154" customFormat="1" x14ac:dyDescent="0.25">
      <c r="A290" s="300"/>
      <c r="B290" s="300">
        <v>15</v>
      </c>
      <c r="C290" s="301" t="str">
        <f t="shared" ca="1" si="110"/>
        <v>Создание сайта на языке страны экспорта</v>
      </c>
      <c r="D290" s="281">
        <f ca="1">COUNTIF(E$275:E290,0)</f>
        <v>0</v>
      </c>
      <c r="E290" s="302">
        <f t="shared" ca="1" si="113"/>
        <v>266173.68833894772</v>
      </c>
      <c r="F290" s="303">
        <f t="shared" ca="1" si="111"/>
        <v>5.914682292558965E-3</v>
      </c>
      <c r="G290" s="289"/>
      <c r="H290" s="304">
        <f t="shared" ca="1" si="112"/>
        <v>15</v>
      </c>
      <c r="I290" s="304">
        <f t="shared" ca="1" si="109"/>
        <v>15</v>
      </c>
      <c r="J290" s="304">
        <f t="shared" ca="1" si="109"/>
        <v>15</v>
      </c>
      <c r="K290" s="304">
        <f t="shared" ca="1" si="109"/>
        <v>15</v>
      </c>
      <c r="L290" s="304">
        <f t="shared" ca="1" si="109"/>
        <v>15</v>
      </c>
      <c r="M290" s="304">
        <f t="shared" ca="1" si="109"/>
        <v>15</v>
      </c>
      <c r="N290" s="304" t="e">
        <f t="shared" ca="1" si="109"/>
        <v>#N/A</v>
      </c>
      <c r="O290" s="304" t="e">
        <f t="shared" ca="1" si="109"/>
        <v>#N/A</v>
      </c>
      <c r="P290" s="304" t="e">
        <f t="shared" ca="1" si="109"/>
        <v>#N/A</v>
      </c>
      <c r="Q290" s="304" t="e">
        <f t="shared" ca="1" si="109"/>
        <v>#N/A</v>
      </c>
      <c r="R290" s="304" t="e">
        <f t="shared" ca="1" si="109"/>
        <v>#N/A</v>
      </c>
      <c r="S290" s="304" t="e">
        <f t="shared" ca="1" si="109"/>
        <v>#N/A</v>
      </c>
    </row>
    <row r="291" spans="1:19" s="154" customFormat="1" x14ac:dyDescent="0.25">
      <c r="A291" s="300"/>
      <c r="B291" s="300">
        <v>16</v>
      </c>
      <c r="C291" s="301" t="str">
        <f t="shared" ca="1" si="110"/>
        <v>Создание юридического лица, открытие р/с</v>
      </c>
      <c r="D291" s="281">
        <f ca="1">COUNTIF(E$275:E291,0)</f>
        <v>0</v>
      </c>
      <c r="E291" s="302">
        <f t="shared" ca="1" si="113"/>
        <v>222079.22865050531</v>
      </c>
      <c r="F291" s="303">
        <f t="shared" ca="1" si="111"/>
        <v>4.9348532134838212E-3</v>
      </c>
      <c r="G291" s="289"/>
      <c r="H291" s="304" t="e">
        <f t="shared" ca="1" si="112"/>
        <v>#N/A</v>
      </c>
      <c r="I291" s="304" t="e">
        <f t="shared" ca="1" si="109"/>
        <v>#N/A</v>
      </c>
      <c r="J291" s="304" t="e">
        <f t="shared" ca="1" si="109"/>
        <v>#N/A</v>
      </c>
      <c r="K291" s="304" t="e">
        <f t="shared" ca="1" si="109"/>
        <v>#N/A</v>
      </c>
      <c r="L291" s="304">
        <f t="shared" ca="1" si="109"/>
        <v>16</v>
      </c>
      <c r="M291" s="304">
        <f t="shared" ca="1" si="109"/>
        <v>16</v>
      </c>
      <c r="N291" s="304" t="e">
        <f t="shared" ca="1" si="109"/>
        <v>#N/A</v>
      </c>
      <c r="O291" s="304" t="e">
        <f t="shared" ca="1" si="109"/>
        <v>#N/A</v>
      </c>
      <c r="P291" s="304" t="e">
        <f t="shared" ca="1" si="109"/>
        <v>#N/A</v>
      </c>
      <c r="Q291" s="304" t="e">
        <f t="shared" ca="1" si="109"/>
        <v>#N/A</v>
      </c>
      <c r="R291" s="304" t="e">
        <f t="shared" ca="1" si="109"/>
        <v>#N/A</v>
      </c>
      <c r="S291" s="304" t="e">
        <f t="shared" ca="1" si="109"/>
        <v>#N/A</v>
      </c>
    </row>
    <row r="292" spans="1:19" s="154" customFormat="1" x14ac:dyDescent="0.25">
      <c r="A292" s="300"/>
      <c r="B292" s="300">
        <v>17</v>
      </c>
      <c r="C292" s="301" t="str">
        <f t="shared" ca="1" si="110"/>
        <v>Сертификация продукта</v>
      </c>
      <c r="D292" s="281">
        <f ca="1">COUNTIF(E$275:E292,0)</f>
        <v>0</v>
      </c>
      <c r="E292" s="302">
        <f t="shared" ca="1" si="113"/>
        <v>154655.72606150786</v>
      </c>
      <c r="F292" s="303">
        <f t="shared" ca="1" si="111"/>
        <v>3.4366262499019584E-3</v>
      </c>
      <c r="G292" s="289"/>
      <c r="H292" s="304" t="e">
        <f t="shared" ca="1" si="112"/>
        <v>#N/A</v>
      </c>
      <c r="I292" s="304" t="e">
        <f t="shared" ref="I292:S295" ca="1" si="114">IF(INDEX(I$252:I$271,MATCH($C292,$C$252:$C$271,0))&gt;0,$B292,NA())</f>
        <v>#N/A</v>
      </c>
      <c r="J292" s="304" t="e">
        <f t="shared" ca="1" si="114"/>
        <v>#N/A</v>
      </c>
      <c r="K292" s="304" t="e">
        <f t="shared" ca="1" si="114"/>
        <v>#N/A</v>
      </c>
      <c r="L292" s="304">
        <f t="shared" ca="1" si="114"/>
        <v>17</v>
      </c>
      <c r="M292" s="304">
        <f t="shared" ca="1" si="114"/>
        <v>17</v>
      </c>
      <c r="N292" s="304" t="e">
        <f t="shared" ca="1" si="114"/>
        <v>#N/A</v>
      </c>
      <c r="O292" s="304" t="e">
        <f t="shared" ca="1" si="114"/>
        <v>#N/A</v>
      </c>
      <c r="P292" s="304" t="e">
        <f t="shared" ca="1" si="114"/>
        <v>#N/A</v>
      </c>
      <c r="Q292" s="304" t="e">
        <f t="shared" ca="1" si="114"/>
        <v>#N/A</v>
      </c>
      <c r="R292" s="304" t="e">
        <f t="shared" ca="1" si="114"/>
        <v>#N/A</v>
      </c>
      <c r="S292" s="304" t="e">
        <f t="shared" ca="1" si="114"/>
        <v>#N/A</v>
      </c>
    </row>
    <row r="293" spans="1:19" s="154" customFormat="1" x14ac:dyDescent="0.25">
      <c r="A293" s="300"/>
      <c r="B293" s="300">
        <v>18</v>
      </c>
      <c r="C293" s="301" t="str">
        <f t="shared" ca="1" si="110"/>
        <v>Аренда основных средств на стадии подготовки проекта</v>
      </c>
      <c r="D293" s="281">
        <f ca="1">COUNTIF(E$275:E293,0)</f>
        <v>0</v>
      </c>
      <c r="E293" s="302">
        <f t="shared" ca="1" si="113"/>
        <v>25847.570001839649</v>
      </c>
      <c r="F293" s="303">
        <f t="shared" ca="1" si="111"/>
        <v>5.7436242308398432E-4</v>
      </c>
      <c r="G293" s="289"/>
      <c r="H293" s="304" t="e">
        <f t="shared" ca="1" si="112"/>
        <v>#N/A</v>
      </c>
      <c r="I293" s="304" t="e">
        <f t="shared" ca="1" si="114"/>
        <v>#N/A</v>
      </c>
      <c r="J293" s="304" t="e">
        <f t="shared" ca="1" si="114"/>
        <v>#N/A</v>
      </c>
      <c r="K293" s="304" t="e">
        <f t="shared" ca="1" si="114"/>
        <v>#N/A</v>
      </c>
      <c r="L293" s="304" t="e">
        <f t="shared" ca="1" si="114"/>
        <v>#N/A</v>
      </c>
      <c r="M293" s="304">
        <f t="shared" ca="1" si="114"/>
        <v>18</v>
      </c>
      <c r="N293" s="304" t="e">
        <f t="shared" ca="1" si="114"/>
        <v>#N/A</v>
      </c>
      <c r="O293" s="304" t="e">
        <f t="shared" ca="1" si="114"/>
        <v>#N/A</v>
      </c>
      <c r="P293" s="304" t="e">
        <f t="shared" ca="1" si="114"/>
        <v>#N/A</v>
      </c>
      <c r="Q293" s="304" t="e">
        <f t="shared" ca="1" si="114"/>
        <v>#N/A</v>
      </c>
      <c r="R293" s="304" t="e">
        <f t="shared" ca="1" si="114"/>
        <v>#N/A</v>
      </c>
      <c r="S293" s="304" t="e">
        <f t="shared" ca="1" si="114"/>
        <v>#N/A</v>
      </c>
    </row>
    <row r="294" spans="1:19" s="154" customFormat="1" x14ac:dyDescent="0.25">
      <c r="A294" s="300"/>
      <c r="B294" s="300">
        <v>19</v>
      </c>
      <c r="C294" s="301" t="str">
        <f t="shared" ca="1" si="110"/>
        <v>Поиск партнеров</v>
      </c>
      <c r="D294" s="281">
        <f ca="1">COUNTIF(E$275:E294,0)</f>
        <v>0</v>
      </c>
      <c r="E294" s="302">
        <f t="shared" ca="1" si="113"/>
        <v>24144.581164053714</v>
      </c>
      <c r="F294" s="303">
        <f t="shared" ca="1" si="111"/>
        <v>5.3652007290228086E-4</v>
      </c>
      <c r="G294" s="289"/>
      <c r="H294" s="304">
        <f t="shared" ca="1" si="112"/>
        <v>19</v>
      </c>
      <c r="I294" s="304">
        <f t="shared" ca="1" si="114"/>
        <v>19</v>
      </c>
      <c r="J294" s="304">
        <f t="shared" ca="1" si="114"/>
        <v>19</v>
      </c>
      <c r="K294" s="304">
        <f t="shared" ca="1" si="114"/>
        <v>19</v>
      </c>
      <c r="L294" s="304">
        <f t="shared" ca="1" si="114"/>
        <v>19</v>
      </c>
      <c r="M294" s="304">
        <f t="shared" ca="1" si="114"/>
        <v>19</v>
      </c>
      <c r="N294" s="304">
        <f t="shared" ca="1" si="114"/>
        <v>19</v>
      </c>
      <c r="O294" s="304" t="e">
        <f t="shared" ca="1" si="114"/>
        <v>#N/A</v>
      </c>
      <c r="P294" s="304" t="e">
        <f t="shared" ca="1" si="114"/>
        <v>#N/A</v>
      </c>
      <c r="Q294" s="304" t="e">
        <f t="shared" ca="1" si="114"/>
        <v>#N/A</v>
      </c>
      <c r="R294" s="304" t="e">
        <f t="shared" ca="1" si="114"/>
        <v>#N/A</v>
      </c>
      <c r="S294" s="304" t="e">
        <f t="shared" ca="1" si="114"/>
        <v>#N/A</v>
      </c>
    </row>
    <row r="295" spans="1:19" s="154" customFormat="1" x14ac:dyDescent="0.25">
      <c r="A295" s="300"/>
      <c r="B295" s="300">
        <v>20</v>
      </c>
      <c r="C295" s="301" t="str">
        <f t="shared" ca="1" si="110"/>
        <v>Закупка специализированного программного обеспечения</v>
      </c>
      <c r="D295" s="281">
        <f ca="1">COUNTIF(E$275:E295,0)</f>
        <v>0</v>
      </c>
      <c r="E295" s="302">
        <f t="shared" ca="1" si="113"/>
        <v>15465.572606150785</v>
      </c>
      <c r="F295" s="303">
        <f t="shared" ca="1" si="111"/>
        <v>3.4366262499019583E-4</v>
      </c>
      <c r="G295" s="289"/>
      <c r="H295" s="304" t="e">
        <f t="shared" ca="1" si="112"/>
        <v>#N/A</v>
      </c>
      <c r="I295" s="304" t="e">
        <f t="shared" ca="1" si="114"/>
        <v>#N/A</v>
      </c>
      <c r="J295" s="304" t="e">
        <f t="shared" ca="1" si="114"/>
        <v>#N/A</v>
      </c>
      <c r="K295" s="304" t="e">
        <f t="shared" ca="1" si="114"/>
        <v>#N/A</v>
      </c>
      <c r="L295" s="304">
        <f t="shared" ca="1" si="114"/>
        <v>20</v>
      </c>
      <c r="M295" s="304">
        <f t="shared" ca="1" si="114"/>
        <v>20</v>
      </c>
      <c r="N295" s="304" t="e">
        <f t="shared" ca="1" si="114"/>
        <v>#N/A</v>
      </c>
      <c r="O295" s="304" t="e">
        <f t="shared" ca="1" si="114"/>
        <v>#N/A</v>
      </c>
      <c r="P295" s="304" t="e">
        <f t="shared" ca="1" si="114"/>
        <v>#N/A</v>
      </c>
      <c r="Q295" s="304" t="e">
        <f t="shared" ca="1" si="114"/>
        <v>#N/A</v>
      </c>
      <c r="R295" s="304" t="e">
        <f t="shared" ca="1" si="114"/>
        <v>#N/A</v>
      </c>
      <c r="S295" s="304" t="e">
        <f t="shared" ca="1" si="114"/>
        <v>#N/A</v>
      </c>
    </row>
    <row r="296" spans="1:19" s="154" customFormat="1" x14ac:dyDescent="0.25">
      <c r="A296" s="151"/>
      <c r="B296" s="151"/>
      <c r="C296" s="153"/>
      <c r="D296" s="153"/>
      <c r="E296" s="156"/>
      <c r="F296" s="156"/>
      <c r="G296" s="156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</row>
    <row r="297" spans="1:19" x14ac:dyDescent="0.25">
      <c r="B297" s="159">
        <v>1</v>
      </c>
      <c r="C297" s="161" t="str">
        <f ca="1">IF(E252=0,ROW(C252),"")</f>
        <v/>
      </c>
      <c r="I297" s="162"/>
    </row>
    <row r="298" spans="1:19" x14ac:dyDescent="0.25">
      <c r="B298" s="159">
        <v>2</v>
      </c>
      <c r="C298" s="161" t="str">
        <f t="shared" ref="C298:C312" ca="1" si="115">IF(E253=0,ROW(C253),"")</f>
        <v/>
      </c>
    </row>
    <row r="299" spans="1:19" ht="16.5" x14ac:dyDescent="0.25">
      <c r="B299" s="159">
        <v>3</v>
      </c>
      <c r="C299" s="161" t="str">
        <f t="shared" ca="1" si="115"/>
        <v/>
      </c>
      <c r="D299" s="12"/>
    </row>
    <row r="300" spans="1:19" ht="16.5" x14ac:dyDescent="0.25">
      <c r="B300" s="159">
        <v>4</v>
      </c>
      <c r="C300" s="161" t="str">
        <f t="shared" ca="1" si="115"/>
        <v/>
      </c>
      <c r="D300" s="12"/>
    </row>
    <row r="301" spans="1:19" ht="16.5" x14ac:dyDescent="0.25">
      <c r="B301" s="159">
        <v>5</v>
      </c>
      <c r="C301" s="161" t="str">
        <f t="shared" ca="1" si="115"/>
        <v/>
      </c>
      <c r="D301" s="12"/>
    </row>
    <row r="302" spans="1:19" ht="16.5" x14ac:dyDescent="0.25">
      <c r="B302" s="159">
        <v>6</v>
      </c>
      <c r="C302" s="161" t="str">
        <f t="shared" ca="1" si="115"/>
        <v/>
      </c>
      <c r="D302" s="12"/>
    </row>
    <row r="303" spans="1:19" ht="16.5" x14ac:dyDescent="0.25">
      <c r="B303" s="159">
        <v>7</v>
      </c>
      <c r="C303" s="161" t="str">
        <f t="shared" ca="1" si="115"/>
        <v/>
      </c>
      <c r="D303" s="12"/>
    </row>
    <row r="304" spans="1:19" ht="16.5" x14ac:dyDescent="0.25">
      <c r="B304" s="159">
        <v>8</v>
      </c>
      <c r="C304" s="161" t="str">
        <f t="shared" ca="1" si="115"/>
        <v/>
      </c>
      <c r="D304" s="12"/>
    </row>
    <row r="305" spans="2:19" ht="16.5" x14ac:dyDescent="0.25">
      <c r="B305" s="159">
        <v>9</v>
      </c>
      <c r="C305" s="161" t="str">
        <f t="shared" ca="1" si="115"/>
        <v/>
      </c>
      <c r="D305" s="12"/>
    </row>
    <row r="306" spans="2:19" ht="16.5" x14ac:dyDescent="0.25">
      <c r="B306" s="159">
        <v>10</v>
      </c>
      <c r="C306" s="161" t="str">
        <f t="shared" ca="1" si="115"/>
        <v/>
      </c>
      <c r="D306" s="12"/>
    </row>
    <row r="307" spans="2:19" ht="16.5" x14ac:dyDescent="0.25">
      <c r="B307" s="159">
        <v>11</v>
      </c>
      <c r="C307" s="161" t="str">
        <f t="shared" ca="1" si="115"/>
        <v/>
      </c>
      <c r="D307" s="12"/>
    </row>
    <row r="308" spans="2:19" ht="16.5" x14ac:dyDescent="0.25">
      <c r="B308" s="159">
        <v>12</v>
      </c>
      <c r="C308" s="161" t="str">
        <f t="shared" ca="1" si="115"/>
        <v/>
      </c>
      <c r="D308" s="12"/>
    </row>
    <row r="309" spans="2:19" ht="16.5" x14ac:dyDescent="0.25">
      <c r="B309" s="159">
        <v>13</v>
      </c>
      <c r="C309" s="161" t="str">
        <f t="shared" ca="1" si="115"/>
        <v/>
      </c>
      <c r="D309" s="12"/>
    </row>
    <row r="310" spans="2:19" ht="16.5" x14ac:dyDescent="0.25">
      <c r="B310" s="159">
        <v>14</v>
      </c>
      <c r="C310" s="161" t="str">
        <f t="shared" ca="1" si="115"/>
        <v/>
      </c>
      <c r="D310" s="12"/>
    </row>
    <row r="311" spans="2:19" ht="16.5" x14ac:dyDescent="0.25">
      <c r="B311" s="159">
        <v>15</v>
      </c>
      <c r="C311" s="161" t="str">
        <f t="shared" ca="1" si="115"/>
        <v/>
      </c>
      <c r="D311" s="12"/>
    </row>
    <row r="312" spans="2:19" ht="16.5" x14ac:dyDescent="0.25">
      <c r="B312" s="159">
        <v>16</v>
      </c>
      <c r="C312" s="161" t="str">
        <f t="shared" ca="1" si="115"/>
        <v/>
      </c>
      <c r="D312" s="12"/>
    </row>
    <row r="313" spans="2:19" ht="16.5" x14ac:dyDescent="0.25">
      <c r="B313" s="159">
        <v>17</v>
      </c>
      <c r="C313" s="9"/>
      <c r="D313" s="12"/>
    </row>
    <row r="314" spans="2:19" x14ac:dyDescent="0.25">
      <c r="B314" s="159">
        <v>18</v>
      </c>
    </row>
    <row r="315" spans="2:19" x14ac:dyDescent="0.25">
      <c r="B315" s="159">
        <v>19</v>
      </c>
      <c r="C315" s="9"/>
    </row>
    <row r="316" spans="2:19" x14ac:dyDescent="0.25">
      <c r="B316" s="159">
        <v>20</v>
      </c>
      <c r="C316" s="9"/>
    </row>
    <row r="319" spans="2:19" x14ac:dyDescent="0.25">
      <c r="B319" s="159"/>
      <c r="C319" s="46" t="s">
        <v>156</v>
      </c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</row>
  </sheetData>
  <sheetProtection algorithmName="SHA-512" hashValue="7YKP8vxclhsAhwMBQQ+rkv4pXuqkESf8cypqeSRQ+XgD2R1wcBK8NLKvtRm7eLIYIjTfv+Yvc53KD33O74Dzdg==" saltValue="LNtMsbFno7ausLFhdzvdbg==" spinCount="100000" sheet="1" objects="1" scenarios="1" selectLockedCells="1" selectUnlockedCells="1"/>
  <mergeCells count="1">
    <mergeCell ref="C2:C4"/>
  </mergeCells>
  <conditionalFormatting sqref="D40:D43 D48:D67 D126:D131 D227:D232">
    <cfRule type="expression" dxfId="23" priority="483">
      <formula>D40&lt;&gt;"RUB"</formula>
    </cfRule>
  </conditionalFormatting>
  <conditionalFormatting sqref="E4">
    <cfRule type="cellIs" dxfId="22" priority="177" operator="equal">
      <formula>"проверка!"</formula>
    </cfRule>
  </conditionalFormatting>
  <conditionalFormatting sqref="H40:S115">
    <cfRule type="cellIs" dxfId="21" priority="158" stopIfTrue="1" operator="greaterThan">
      <formula>0</formula>
    </cfRule>
  </conditionalFormatting>
  <conditionalFormatting sqref="D44:D47">
    <cfRule type="expression" dxfId="20" priority="130">
      <formula>D44&lt;&gt;"RUB"</formula>
    </cfRule>
  </conditionalFormatting>
  <conditionalFormatting sqref="D68:D71">
    <cfRule type="expression" dxfId="19" priority="129">
      <formula>D68&lt;&gt;"RUB"</formula>
    </cfRule>
  </conditionalFormatting>
  <conditionalFormatting sqref="D72:D75">
    <cfRule type="expression" dxfId="18" priority="128">
      <formula>D72&lt;&gt;"RUB"</formula>
    </cfRule>
  </conditionalFormatting>
  <conditionalFormatting sqref="D76:D79">
    <cfRule type="expression" dxfId="17" priority="127">
      <formula>D76&lt;&gt;"RUB"</formula>
    </cfRule>
  </conditionalFormatting>
  <conditionalFormatting sqref="D80:D83">
    <cfRule type="expression" dxfId="16" priority="126">
      <formula>D80&lt;&gt;"RUB"</formula>
    </cfRule>
  </conditionalFormatting>
  <conditionalFormatting sqref="D84:D87">
    <cfRule type="expression" dxfId="15" priority="125">
      <formula>D84&lt;&gt;"RUB"</formula>
    </cfRule>
  </conditionalFormatting>
  <conditionalFormatting sqref="D88:D91">
    <cfRule type="expression" dxfId="14" priority="122">
      <formula>D88&lt;&gt;"RUB"</formula>
    </cfRule>
  </conditionalFormatting>
  <conditionalFormatting sqref="D92:D95">
    <cfRule type="expression" dxfId="13" priority="121">
      <formula>D92&lt;&gt;"RUB"</formula>
    </cfRule>
  </conditionalFormatting>
  <conditionalFormatting sqref="D96:D99">
    <cfRule type="expression" dxfId="12" priority="120">
      <formula>D96&lt;&gt;"RUB"</formula>
    </cfRule>
  </conditionalFormatting>
  <conditionalFormatting sqref="D100:D103">
    <cfRule type="expression" dxfId="11" priority="119">
      <formula>D100&lt;&gt;"RUB"</formula>
    </cfRule>
  </conditionalFormatting>
  <conditionalFormatting sqref="D104:D107">
    <cfRule type="expression" dxfId="10" priority="118">
      <formula>D104&lt;&gt;"RUB"</formula>
    </cfRule>
  </conditionalFormatting>
  <conditionalFormatting sqref="D108:D111">
    <cfRule type="expression" dxfId="9" priority="117">
      <formula>D108&lt;&gt;"RUB"</formula>
    </cfRule>
  </conditionalFormatting>
  <conditionalFormatting sqref="D112:D115">
    <cfRule type="expression" dxfId="8" priority="18">
      <formula>D112&lt;&gt;"RUB"</formula>
    </cfRule>
  </conditionalFormatting>
  <conditionalFormatting sqref="D118:D119">
    <cfRule type="expression" dxfId="7" priority="17">
      <formula>D118&lt;&gt;"RUB"</formula>
    </cfRule>
  </conditionalFormatting>
  <conditionalFormatting sqref="D122:D123">
    <cfRule type="expression" dxfId="6" priority="16">
      <formula>D122&lt;&gt;"RUB"</formula>
    </cfRule>
  </conditionalFormatting>
  <conditionalFormatting sqref="D235:D240">
    <cfRule type="expression" dxfId="5" priority="9">
      <formula>D235&lt;&gt;"RUB"</formula>
    </cfRule>
  </conditionalFormatting>
  <conditionalFormatting sqref="D233">
    <cfRule type="expression" dxfId="4" priority="8">
      <formula>D233&lt;&gt;"RUB"</formula>
    </cfRule>
  </conditionalFormatting>
  <conditionalFormatting sqref="D241">
    <cfRule type="expression" dxfId="3" priority="6">
      <formula>D241&lt;&gt;"RUB"</formula>
    </cfRule>
  </conditionalFormatting>
  <conditionalFormatting sqref="I297 H276:S295 H274:S274">
    <cfRule type="containsErrors" dxfId="2" priority="484">
      <formula>ISERROR(H274)</formula>
    </cfRule>
  </conditionalFormatting>
  <conditionalFormatting sqref="H273:S273">
    <cfRule type="expression" dxfId="1" priority="2">
      <formula>H273&gt;0</formula>
    </cfRule>
  </conditionalFormatting>
  <conditionalFormatting sqref="G272">
    <cfRule type="expression" dxfId="0" priority="1">
      <formula>$G$272="проверить расчет!"</formula>
    </cfRule>
  </conditionalFormatting>
  <dataValidations count="1">
    <dataValidation type="whole" operator="equal" allowBlank="1" showInputMessage="1" showErrorMessage="1" error="1 = предусмотрен помесячный шаг прогноза" sqref="E11" xr:uid="{D872A445-AD46-4FF9-B1C4-B6A170ED85A7}">
      <formula1>1</formula1>
    </dataValidation>
  </dataValidations>
  <pageMargins left="0.7" right="0.7" top="0.75" bottom="0.75" header="0.3" footer="0.3"/>
  <pageSetup paperSize="9" orientation="portrait" r:id="rId1"/>
  <ignoredErrors>
    <ignoredError sqref="E187 E175 E179 E18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F3C9-B6C6-49D1-9875-0097A2A4F09D}">
  <sheetPr codeName="Лист4">
    <tabColor rgb="FFE2EFDA"/>
  </sheetPr>
  <dimension ref="A1:G44"/>
  <sheetViews>
    <sheetView showGridLines="0" zoomScale="86" zoomScaleNormal="86" workbookViewId="0">
      <selection activeCell="L38" sqref="L38"/>
    </sheetView>
  </sheetViews>
  <sheetFormatPr defaultRowHeight="15" x14ac:dyDescent="0.25"/>
  <cols>
    <col min="1" max="1" width="11" bestFit="1" customWidth="1"/>
    <col min="2" max="2" width="9.7109375" bestFit="1" customWidth="1"/>
    <col min="3" max="3" width="8.140625" bestFit="1" customWidth="1"/>
    <col min="4" max="4" width="43.42578125" bestFit="1" customWidth="1"/>
    <col min="5" max="5" width="10.42578125" bestFit="1" customWidth="1"/>
  </cols>
  <sheetData>
    <row r="1" spans="1:7" ht="21" x14ac:dyDescent="0.35">
      <c r="A1" t="s">
        <v>277</v>
      </c>
      <c r="B1" t="s">
        <v>191</v>
      </c>
      <c r="C1" t="s">
        <v>278</v>
      </c>
      <c r="D1" t="s">
        <v>233</v>
      </c>
      <c r="E1" t="s">
        <v>279</v>
      </c>
      <c r="G1" s="109" t="s">
        <v>289</v>
      </c>
    </row>
    <row r="2" spans="1:7" ht="21" x14ac:dyDescent="0.35">
      <c r="A2">
        <v>784</v>
      </c>
      <c r="B2" s="93" t="s">
        <v>13</v>
      </c>
      <c r="C2">
        <v>1</v>
      </c>
      <c r="D2" s="93" t="s">
        <v>246</v>
      </c>
      <c r="E2">
        <v>23.985600000000002</v>
      </c>
      <c r="G2" s="109" t="s">
        <v>290</v>
      </c>
    </row>
    <row r="3" spans="1:7" x14ac:dyDescent="0.25">
      <c r="A3">
        <v>51</v>
      </c>
      <c r="B3" s="93" t="s">
        <v>194</v>
      </c>
      <c r="C3">
        <v>100</v>
      </c>
      <c r="D3" s="93" t="s">
        <v>236</v>
      </c>
      <c r="E3">
        <v>22.689399999999999</v>
      </c>
    </row>
    <row r="4" spans="1:7" x14ac:dyDescent="0.25">
      <c r="A4">
        <v>36</v>
      </c>
      <c r="B4" s="93" t="s">
        <v>192</v>
      </c>
      <c r="C4">
        <v>1</v>
      </c>
      <c r="D4" s="93" t="s">
        <v>234</v>
      </c>
      <c r="E4">
        <v>59.335500000000003</v>
      </c>
    </row>
    <row r="5" spans="1:7" x14ac:dyDescent="0.25">
      <c r="A5">
        <v>944</v>
      </c>
      <c r="B5" s="93" t="s">
        <v>193</v>
      </c>
      <c r="C5">
        <v>1</v>
      </c>
      <c r="D5" s="93" t="s">
        <v>235</v>
      </c>
      <c r="E5">
        <v>51.816000000000003</v>
      </c>
    </row>
    <row r="6" spans="1:7" x14ac:dyDescent="0.25">
      <c r="A6">
        <v>975</v>
      </c>
      <c r="B6" s="93" t="s">
        <v>196</v>
      </c>
      <c r="C6">
        <v>1</v>
      </c>
      <c r="D6" s="93" t="s">
        <v>238</v>
      </c>
      <c r="E6">
        <v>49.100700000000003</v>
      </c>
    </row>
    <row r="7" spans="1:7" x14ac:dyDescent="0.25">
      <c r="A7">
        <v>986</v>
      </c>
      <c r="B7" s="93" t="s">
        <v>197</v>
      </c>
      <c r="C7">
        <v>1</v>
      </c>
      <c r="D7" s="93" t="s">
        <v>239</v>
      </c>
      <c r="E7">
        <v>16.231000000000002</v>
      </c>
    </row>
    <row r="8" spans="1:7" x14ac:dyDescent="0.25">
      <c r="A8">
        <v>933</v>
      </c>
      <c r="B8" s="93" t="s">
        <v>195</v>
      </c>
      <c r="C8">
        <v>1</v>
      </c>
      <c r="D8" s="93" t="s">
        <v>237</v>
      </c>
      <c r="E8">
        <v>27.6508</v>
      </c>
    </row>
    <row r="9" spans="1:7" x14ac:dyDescent="0.25">
      <c r="A9">
        <v>124</v>
      </c>
      <c r="B9" s="93" t="s">
        <v>209</v>
      </c>
      <c r="C9">
        <v>1</v>
      </c>
      <c r="D9" s="93" t="s">
        <v>253</v>
      </c>
      <c r="E9">
        <v>64.363</v>
      </c>
    </row>
    <row r="10" spans="1:7" x14ac:dyDescent="0.25">
      <c r="A10">
        <v>756</v>
      </c>
      <c r="B10" s="93" t="s">
        <v>230</v>
      </c>
      <c r="C10">
        <v>1</v>
      </c>
      <c r="D10" s="93" t="s">
        <v>274</v>
      </c>
      <c r="E10">
        <v>99.264399999999995</v>
      </c>
    </row>
    <row r="11" spans="1:7" x14ac:dyDescent="0.25">
      <c r="A11">
        <v>156</v>
      </c>
      <c r="B11" s="93" t="s">
        <v>212</v>
      </c>
      <c r="C11">
        <v>1</v>
      </c>
      <c r="D11" s="93" t="s">
        <v>256</v>
      </c>
      <c r="E11">
        <v>12.053699999999999</v>
      </c>
    </row>
    <row r="12" spans="1:7" x14ac:dyDescent="0.25">
      <c r="A12">
        <v>203</v>
      </c>
      <c r="B12" s="93" t="s">
        <v>228</v>
      </c>
      <c r="C12">
        <v>10</v>
      </c>
      <c r="D12" s="93" t="s">
        <v>272</v>
      </c>
      <c r="E12">
        <v>38.091799999999999</v>
      </c>
    </row>
    <row r="13" spans="1:7" x14ac:dyDescent="0.25">
      <c r="A13">
        <v>208</v>
      </c>
      <c r="B13" s="93" t="s">
        <v>203</v>
      </c>
      <c r="C13">
        <v>1</v>
      </c>
      <c r="D13" s="93" t="s">
        <v>245</v>
      </c>
      <c r="E13">
        <v>12.8711</v>
      </c>
    </row>
    <row r="14" spans="1:7" x14ac:dyDescent="0.25">
      <c r="A14">
        <v>818</v>
      </c>
      <c r="B14" s="93" t="s">
        <v>205</v>
      </c>
      <c r="C14">
        <v>10</v>
      </c>
      <c r="D14" s="93" t="s">
        <v>249</v>
      </c>
      <c r="E14">
        <v>18.265499999999999</v>
      </c>
    </row>
    <row r="15" spans="1:7" x14ac:dyDescent="0.25">
      <c r="A15">
        <v>978</v>
      </c>
      <c r="B15" s="93" t="s">
        <v>204</v>
      </c>
      <c r="C15">
        <v>1</v>
      </c>
      <c r="D15" s="93" t="s">
        <v>248</v>
      </c>
      <c r="E15">
        <v>96.304599999999994</v>
      </c>
    </row>
    <row r="16" spans="1:7" x14ac:dyDescent="0.25">
      <c r="A16">
        <v>826</v>
      </c>
      <c r="B16" s="93" t="s">
        <v>227</v>
      </c>
      <c r="C16">
        <v>1</v>
      </c>
      <c r="D16" s="93" t="s">
        <v>271</v>
      </c>
      <c r="E16">
        <v>114.0553</v>
      </c>
    </row>
    <row r="17" spans="1:5" x14ac:dyDescent="0.25">
      <c r="A17">
        <v>981</v>
      </c>
      <c r="B17" s="93" t="s">
        <v>202</v>
      </c>
      <c r="C17">
        <v>1</v>
      </c>
      <c r="D17" s="93" t="s">
        <v>244</v>
      </c>
      <c r="E17">
        <v>32.683</v>
      </c>
    </row>
    <row r="18" spans="1:5" x14ac:dyDescent="0.25">
      <c r="A18">
        <v>344</v>
      </c>
      <c r="B18" s="93" t="s">
        <v>201</v>
      </c>
      <c r="C18">
        <v>1</v>
      </c>
      <c r="D18" s="93" t="s">
        <v>243</v>
      </c>
      <c r="E18">
        <v>11.3019</v>
      </c>
    </row>
    <row r="19" spans="1:5" x14ac:dyDescent="0.25">
      <c r="A19">
        <v>348</v>
      </c>
      <c r="B19" s="93" t="s">
        <v>198</v>
      </c>
      <c r="C19">
        <v>100</v>
      </c>
      <c r="D19" s="93" t="s">
        <v>240</v>
      </c>
      <c r="E19">
        <v>24.657</v>
      </c>
    </row>
    <row r="20" spans="1:5" x14ac:dyDescent="0.25">
      <c r="A20">
        <v>360</v>
      </c>
      <c r="B20" s="93" t="s">
        <v>207</v>
      </c>
      <c r="C20">
        <v>10000</v>
      </c>
      <c r="D20" s="93" t="s">
        <v>251</v>
      </c>
      <c r="E20">
        <v>54.364699999999999</v>
      </c>
    </row>
    <row r="21" spans="1:5" x14ac:dyDescent="0.25">
      <c r="A21">
        <v>356</v>
      </c>
      <c r="B21" s="93" t="s">
        <v>206</v>
      </c>
      <c r="C21">
        <v>10</v>
      </c>
      <c r="D21" s="93" t="s">
        <v>250</v>
      </c>
      <c r="E21">
        <v>10.5395</v>
      </c>
    </row>
    <row r="22" spans="1:5" x14ac:dyDescent="0.25">
      <c r="A22">
        <v>392</v>
      </c>
      <c r="B22" s="93" t="s">
        <v>232</v>
      </c>
      <c r="C22">
        <v>100</v>
      </c>
      <c r="D22" s="93" t="s">
        <v>276</v>
      </c>
      <c r="E22">
        <v>55.572000000000003</v>
      </c>
    </row>
    <row r="23" spans="1:5" x14ac:dyDescent="0.25">
      <c r="A23">
        <v>417</v>
      </c>
      <c r="B23" s="93" t="s">
        <v>211</v>
      </c>
      <c r="C23">
        <v>10</v>
      </c>
      <c r="D23" s="93" t="s">
        <v>255</v>
      </c>
      <c r="E23">
        <v>10.3683</v>
      </c>
    </row>
    <row r="24" spans="1:5" x14ac:dyDescent="0.25">
      <c r="A24">
        <v>410</v>
      </c>
      <c r="B24" s="93" t="s">
        <v>199</v>
      </c>
      <c r="C24">
        <v>1000</v>
      </c>
      <c r="D24" s="93" t="s">
        <v>241</v>
      </c>
      <c r="E24">
        <v>63.555</v>
      </c>
    </row>
    <row r="25" spans="1:5" x14ac:dyDescent="0.25">
      <c r="A25">
        <v>398</v>
      </c>
      <c r="B25" s="93" t="s">
        <v>208</v>
      </c>
      <c r="C25">
        <v>100</v>
      </c>
      <c r="D25" s="93" t="s">
        <v>252</v>
      </c>
      <c r="E25">
        <v>18.5595</v>
      </c>
    </row>
    <row r="26" spans="1:5" x14ac:dyDescent="0.25">
      <c r="A26">
        <v>498</v>
      </c>
      <c r="B26" s="93" t="s">
        <v>213</v>
      </c>
      <c r="C26">
        <v>10</v>
      </c>
      <c r="D26" s="93" t="s">
        <v>257</v>
      </c>
      <c r="E26">
        <v>49.732199999999999</v>
      </c>
    </row>
    <row r="27" spans="1:5" x14ac:dyDescent="0.25">
      <c r="A27">
        <v>578</v>
      </c>
      <c r="B27" s="93" t="s">
        <v>216</v>
      </c>
      <c r="C27">
        <v>10</v>
      </c>
      <c r="D27" s="93" t="s">
        <v>260</v>
      </c>
      <c r="E27">
        <v>81.511700000000005</v>
      </c>
    </row>
    <row r="28" spans="1:5" x14ac:dyDescent="0.25">
      <c r="A28">
        <v>554</v>
      </c>
      <c r="B28" s="93" t="s">
        <v>214</v>
      </c>
      <c r="C28">
        <v>1</v>
      </c>
      <c r="D28" s="93" t="s">
        <v>258</v>
      </c>
      <c r="E28">
        <v>53.557000000000002</v>
      </c>
    </row>
    <row r="29" spans="1:5" x14ac:dyDescent="0.25">
      <c r="A29">
        <v>985</v>
      </c>
      <c r="B29" s="93" t="s">
        <v>217</v>
      </c>
      <c r="C29">
        <v>1</v>
      </c>
      <c r="D29" s="93" t="s">
        <v>261</v>
      </c>
      <c r="E29">
        <v>22.465499999999999</v>
      </c>
    </row>
    <row r="30" spans="1:5" x14ac:dyDescent="0.25">
      <c r="A30">
        <v>634</v>
      </c>
      <c r="B30" s="93" t="s">
        <v>210</v>
      </c>
      <c r="C30">
        <v>1</v>
      </c>
      <c r="D30" s="93" t="s">
        <v>254</v>
      </c>
      <c r="E30">
        <v>24.1998</v>
      </c>
    </row>
    <row r="31" spans="1:5" x14ac:dyDescent="0.25">
      <c r="A31">
        <v>946</v>
      </c>
      <c r="B31" s="93" t="s">
        <v>218</v>
      </c>
      <c r="C31">
        <v>1</v>
      </c>
      <c r="D31" s="93" t="s">
        <v>262</v>
      </c>
      <c r="E31">
        <v>19.4008</v>
      </c>
    </row>
    <row r="32" spans="1:5" x14ac:dyDescent="0.25">
      <c r="A32">
        <v>941</v>
      </c>
      <c r="B32" s="93" t="s">
        <v>220</v>
      </c>
      <c r="C32">
        <v>100</v>
      </c>
      <c r="D32" s="93" t="s">
        <v>264</v>
      </c>
      <c r="E32">
        <v>82.059399999999997</v>
      </c>
    </row>
    <row r="33" spans="1:5" x14ac:dyDescent="0.25">
      <c r="A33">
        <v>752</v>
      </c>
      <c r="B33" s="93" t="s">
        <v>229</v>
      </c>
      <c r="C33">
        <v>10</v>
      </c>
      <c r="D33" s="93" t="s">
        <v>273</v>
      </c>
      <c r="E33">
        <v>83.112799999999993</v>
      </c>
    </row>
    <row r="34" spans="1:5" x14ac:dyDescent="0.25">
      <c r="A34">
        <v>702</v>
      </c>
      <c r="B34" s="93" t="s">
        <v>221</v>
      </c>
      <c r="C34">
        <v>1</v>
      </c>
      <c r="D34" s="93" t="s">
        <v>265</v>
      </c>
      <c r="E34">
        <v>65.584999999999994</v>
      </c>
    </row>
    <row r="35" spans="1:5" x14ac:dyDescent="0.25">
      <c r="A35">
        <v>764</v>
      </c>
      <c r="B35" s="93" t="s">
        <v>223</v>
      </c>
      <c r="C35">
        <v>10</v>
      </c>
      <c r="D35" s="93" t="s">
        <v>267</v>
      </c>
      <c r="E35">
        <v>24.506799999999998</v>
      </c>
    </row>
    <row r="36" spans="1:5" x14ac:dyDescent="0.25">
      <c r="A36">
        <v>972</v>
      </c>
      <c r="B36" s="93" t="s">
        <v>222</v>
      </c>
      <c r="C36">
        <v>10</v>
      </c>
      <c r="D36" s="93" t="s">
        <v>266</v>
      </c>
      <c r="E36">
        <v>82.619399999999999</v>
      </c>
    </row>
    <row r="37" spans="1:5" x14ac:dyDescent="0.25">
      <c r="A37">
        <v>934</v>
      </c>
      <c r="B37" s="93" t="s">
        <v>215</v>
      </c>
      <c r="C37">
        <v>1</v>
      </c>
      <c r="D37" s="93" t="s">
        <v>259</v>
      </c>
      <c r="E37">
        <v>25.1678</v>
      </c>
    </row>
    <row r="38" spans="1:5" x14ac:dyDescent="0.25">
      <c r="A38">
        <v>949</v>
      </c>
      <c r="B38" s="93" t="s">
        <v>224</v>
      </c>
      <c r="C38">
        <v>10</v>
      </c>
      <c r="D38" s="93" t="s">
        <v>268</v>
      </c>
      <c r="E38">
        <v>26.6511</v>
      </c>
    </row>
    <row r="39" spans="1:5" x14ac:dyDescent="0.25">
      <c r="A39">
        <v>980</v>
      </c>
      <c r="B39" s="93" t="s">
        <v>226</v>
      </c>
      <c r="C39">
        <v>10</v>
      </c>
      <c r="D39" s="93" t="s">
        <v>270</v>
      </c>
      <c r="E39">
        <v>21.3506</v>
      </c>
    </row>
    <row r="40" spans="1:5" x14ac:dyDescent="0.25">
      <c r="A40">
        <v>840</v>
      </c>
      <c r="B40" s="93" t="s">
        <v>14</v>
      </c>
      <c r="C40">
        <v>1</v>
      </c>
      <c r="D40" s="93" t="s">
        <v>247</v>
      </c>
      <c r="E40">
        <v>88.087199999999996</v>
      </c>
    </row>
    <row r="41" spans="1:5" x14ac:dyDescent="0.25">
      <c r="A41">
        <v>860</v>
      </c>
      <c r="B41" s="93" t="s">
        <v>225</v>
      </c>
      <c r="C41">
        <v>10000</v>
      </c>
      <c r="D41" s="93" t="s">
        <v>269</v>
      </c>
      <c r="E41">
        <v>69.988100000000003</v>
      </c>
    </row>
    <row r="42" spans="1:5" x14ac:dyDescent="0.25">
      <c r="A42">
        <v>704</v>
      </c>
      <c r="B42" s="93" t="s">
        <v>200</v>
      </c>
      <c r="C42">
        <v>10000</v>
      </c>
      <c r="D42" s="93" t="s">
        <v>242</v>
      </c>
      <c r="E42">
        <v>36.315600000000003</v>
      </c>
    </row>
    <row r="43" spans="1:5" x14ac:dyDescent="0.25">
      <c r="A43">
        <v>960</v>
      </c>
      <c r="B43" s="93" t="s">
        <v>219</v>
      </c>
      <c r="C43">
        <v>1</v>
      </c>
      <c r="D43" s="93" t="s">
        <v>263</v>
      </c>
      <c r="E43">
        <v>116.8212</v>
      </c>
    </row>
    <row r="44" spans="1:5" x14ac:dyDescent="0.25">
      <c r="A44">
        <v>710</v>
      </c>
      <c r="B44" s="93" t="s">
        <v>231</v>
      </c>
      <c r="C44">
        <v>10</v>
      </c>
      <c r="D44" s="93" t="s">
        <v>275</v>
      </c>
      <c r="E44">
        <v>48.486699999999999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3 6 e 9 4 5 6 - 5 a 2 1 - 4 0 0 b - 8 c 7 3 - 7 f 4 2 d f c b 8 a 7 1 "   x m l n s = " h t t p : / / s c h e m a s . m i c r o s o f t . c o m / D a t a M a s h u p " > A A A A A D M E A A B Q S w M E F A A C A A g A m k 3 y W G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m k 3 y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p N 8 l j D / G h 6 K g E A A L Y B A A A T A B w A R m 9 y b X V s Y X M v U 2 V j d G l v b j E u b S C i G A A o o B Q A A A A A A A A A A A A A A A A A A A A A A A A A A A C N j 0 F L w z A Y h u + F / o e Q X T o o L Q X x 4 P A 0 L 9 4 E C x 5 E J O 2 i K 7 T p S F K w l M L m R A + C o C A M f 4 D n M S b W 6 e Z f + P K P T F c F U Q 8 G Q j 5 4 3 v f 9 3 g g a y i h l a L 9 5 v Y 5 p m I b o E 0 5 7 q I V 9 E s Q U e R h t o 5 h K 0 0 D 6 w E S N 1 D m s 1 B U s o Y K F Z g c 0 c P b I K b X q o Z s y S Z k U F u 5 L O R B b r h s G 3 O G Z G 2 a c U x b m x w E R 1 O 2 R K M 5 d 3 G 7 b T e w O k c T T W T / j C 6 8 8 r N n R p 6 6 F Y Q L P 8 A Z P m t d 3 q a 7 h B W l L B e 9 1 0 X V n x + e E i Z O U J 9 0 0 z h L m 5 w M q r P U O u y g w P E K l L t T Q Q b C A F c y x j X a Z 3 N x w a l 1 p I 6 2 4 V W P N Z t 8 U U j M k 6 Z l s B P c w 1 y t 1 R 3 X 5 h / 0 O p v C q b n S t 6 W / r g x q r o R p 9 A Z Y l A e V l 2 T a N i P 3 n l 5 0 P U E s B A i 0 A F A A C A A g A m k 3 y W G 4 g u q m n A A A A + Q A A A B I A A A A A A A A A A A A A A A A A A A A A A E N v b m Z p Z y 9 Q Y W N r Y W d l L n h t b F B L A Q I t A B Q A A g A I A J p N 8 l g P y u m r p A A A A O k A A A A T A A A A A A A A A A A A A A A A A P M A A A B b Q 2 9 u d G V u d F 9 U e X B l c 1 0 u e G 1 s U E s B A i 0 A F A A C A A g A m k 3 y W M P 8 a H o q A Q A A t g E A A B M A A A A A A A A A A A A A A A A A 5 A E A A E Z v c m 1 1 b G F z L 1 N l Y 3 R p b 2 4 x L m 1 Q S w U G A A A A A A M A A w D C A A A A W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g w A A A A A A A A w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l M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F i b G V f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9 C m 0 L j R h N G A L i D Q u t C + 0 L Q m c X V v d D s s J n F 1 b 3 Q 7 0 J H R g 9 C 6 0 L I u I N C 6 0 L 7 Q t C Z x d W 9 0 O y w m c X V v d D v Q l d C 0 0 L j Q v d C 4 0 Y Y m c X V v d D s s J n F 1 b 3 Q 7 0 J L Q s N C 7 0 Y 7 R g t C w J n F 1 b 3 Q 7 L C Z x d W 9 0 O 9 C a 0 Y P R g N G B J n F 1 b 3 Q 7 X S I g L z 4 8 R W 5 0 c n k g V H l w Z T 0 i R m l s b E N v b H V t b l R 5 c G V z I i B W Y W x 1 Z T 0 i c 0 F 3 W U R C Z 1 U 9 I i A v P j x F b n R y e S B U e X B l P S J G a W x s T G F z d F V w Z G F 0 Z W Q i I F Z h b H V l P S J k M j A y N C 0 w N y 0 x O F Q w N j o 0 N D o 1 M y 4 3 O D I z N T g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M i I C 8 + P E V u d H J 5 I F R 5 c G U 9 I l F 1 Z X J 5 S U Q i I F Z h b H V l P S J z Y W Y x N T h m Y 2 Y t Z W I 2 Z i 0 0 M D Q y L T g 4 Y j E t Z T N l N z I w M D U w Z D I z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x L 9 C Y 0 L f Q v N C 1 0 L 3 Q t d C 9 0 L 3 R i 9 C 5 I N G C 0 L j Q v y 5 7 0 K b Q u N G E 0 Y A u I N C 6 0 L 7 Q t C w w f S Z x d W 9 0 O y w m c X V v d D t T Z W N 0 a W 9 u M S 9 U Y W J s Z S A x L 9 C Y 0 L f Q v N C 1 0 L 3 Q t d C 9 0 L 3 R i 9 C 5 I N G C 0 L j Q v y 5 7 0 J H R g 9 C 6 0 L I u I N C 6 0 L 7 Q t C w x f S Z x d W 9 0 O y w m c X V v d D t T Z W N 0 a W 9 u M S 9 U Y W J s Z S A x L 9 C Y 0 L f Q v N C 1 0 L 3 Q t d C 9 0 L 3 R i 9 C 5 I N G C 0 L j Q v y 5 7 0 J X Q t N C 4 0 L 3 Q u N G G L D J 9 J n F 1 b 3 Q 7 L C Z x d W 9 0 O 1 N l Y 3 R p b 2 4 x L 1 R h Y m x l I D E v 0 J j Q t 9 C 8 0 L X Q v d C 1 0 L 3 Q v d G L 0 L k g 0 Y L Q u N C / L n v Q k t C w 0 L v R j t G C 0 L A s M 3 0 m c X V v d D s s J n F 1 b 3 Q 7 U 2 V j d G l v b j E v V G F i b G U g M S / Q m N C 3 0 L z Q t d C 9 0 L X Q v d C 9 0 Y v Q u S D R g t C 4 0 L 8 u e 9 C a 0 Y P R g N G B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I D E v 0 J j Q t 9 C 8 0 L X Q v d C 1 0 L 3 Q v d G L 0 L k g 0 Y L Q u N C / L n v Q p t C 4 0 Y T R g C 4 g 0 L r Q v t C 0 L D B 9 J n F 1 b 3 Q 7 L C Z x d W 9 0 O 1 N l Y 3 R p b 2 4 x L 1 R h Y m x l I D E v 0 J j Q t 9 C 8 0 L X Q v d C 1 0 L 3 Q v d G L 0 L k g 0 Y L Q u N C / L n v Q k d G D 0 L r Q s i 4 g 0 L r Q v t C 0 L D F 9 J n F 1 b 3 Q 7 L C Z x d W 9 0 O 1 N l Y 3 R p b 2 4 x L 1 R h Y m x l I D E v 0 J j Q t 9 C 8 0 L X Q v d C 1 0 L 3 Q v d G L 0 L k g 0 Y L Q u N C / L n v Q l d C 0 0 L j Q v d C 4 0 Y Y s M n 0 m c X V v d D s s J n F 1 b 3 Q 7 U 2 V j d G l v b j E v V G F i b G U g M S / Q m N C 3 0 L z Q t d C 9 0 L X Q v d C 9 0 Y v Q u S D R g t C 4 0 L 8 u e 9 C S 0 L D Q u 9 G O 0 Y L Q s C w z f S Z x d W 9 0 O y w m c X V v d D t T Z W N 0 a W 9 u M S 9 U Y W J s Z S A x L 9 C Y 0 L f Q v N C 1 0 L 3 Q t d C 9 0 L 3 R i 9 C 5 I N G C 0 L j Q v y 5 7 0 J r R g 9 G A 0 Y E s N H 0 m c X V v d D t d L C Z x d W 9 0 O 1 J l b G F 0 a W 9 u c 2 h p c E l u Z m 8 m c X V v d D s 6 W 1 1 9 I i A v P j x F b n R y e S B U e X B l P S J B Z G R l Z F R v R G F 0 Y U 1 v Z G V s I i B W Y W x 1 Z T 0 i b D A i I C 8 + P E V u d H J 5 I F R 5 c G U 9 I k 5 h d m l n Y X R p b 2 5 T d G V w T m F t Z S I g V m F s d W U 9 I n P Q n d C w 0 L L Q u N C z 0 L D R h t C 4 0 Y 8 i I C 8 + P C 9 T d G F i b G V F b n R y a W V z P j w v S X R l b T 4 8 S X R l b T 4 8 S X R l b U x v Y 2 F 0 a W 9 u P j x J d G V t V H l w Z T 5 G b 3 J t d W x h P C 9 J d G V t V H l w Z T 4 8 S X R l b V B h d G g + U 2 V j d G l v b j E v V G F i b G U l M j A x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S 9 E Y X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D z W v R k 3 J U i N C 1 3 C A w c 7 N A A A A A A C A A A A A A A D Z g A A w A A A A B A A A A A 3 5 m 9 1 7 B E 6 9 w 0 W 4 g 4 V J t G U A A A A A A S A A A C g A A A A E A A A A E X q D e p 3 o R 6 p T m c B 3 6 e l f k F Q A A A A S K V L n Y R l C k r s T D Z 5 S H 6 v M u R t V I 4 7 e 4 / J B z W D w q r x X Y e h B R d i g 5 p a y I t Y z 5 p F q l E z F a 6 1 X W h 6 8 f M 8 N o T U K 6 T B e C 3 2 t 0 H T d 2 1 U f O M B x o N p 2 s w U A A A A 8 E D S q v 5 i Z 4 d J 4 Y / j Z j T o / o F a N t U = < / D a t a M a s h u p > 
</file>

<file path=customXml/itemProps1.xml><?xml version="1.0" encoding="utf-8"?>
<ds:datastoreItem xmlns:ds="http://schemas.openxmlformats.org/officeDocument/2006/customXml" ds:itemID="{21F64D0C-B264-433F-869E-677A670993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Приветствие !</vt:lpstr>
      <vt:lpstr>Бюджет на запуск</vt:lpstr>
      <vt:lpstr>Результат</vt:lpstr>
      <vt:lpstr>Курсы валют</vt:lpstr>
    </vt:vector>
  </TitlesOfParts>
  <Company>Группа РЭЦ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Круглова Юлия Вячеславовна</dc:creator>
  <cp:lastModifiedBy>Круглова Юлия Вячеславовна</cp:lastModifiedBy>
  <dcterms:created xsi:type="dcterms:W3CDTF">2023-06-07T11:18:27Z</dcterms:created>
  <dcterms:modified xsi:type="dcterms:W3CDTF">2024-07-30T09:04:56Z</dcterms:modified>
</cp:coreProperties>
</file>